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IVE D\Backup16-03-60\งานอาคาร บ้านพัก ศปภ.13\ของบ 2567\อาคารเก็บสะพานเบลี่ย์\"/>
    </mc:Choice>
  </mc:AlternateContent>
  <xr:revisionPtr revIDLastSave="0" documentId="13_ncr:1_{1DAC1301-C457-4882-948B-055E83E17CE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ปร.4" sheetId="5" r:id="rId1"/>
    <sheet name="ปร.5 ก" sheetId="2" r:id="rId2"/>
    <sheet name="ปร.6" sheetId="7" r:id="rId3"/>
    <sheet name="ปร.5 ข" sheetId="6" r:id="rId4"/>
    <sheet name="แบบแสดงเหตุผล" sheetId="12" r:id="rId5"/>
    <sheet name="ปร.4(พ)" sheetId="11" r:id="rId6"/>
    <sheet name="ปร.4 (ข)" sheetId="10" r:id="rId7"/>
    <sheet name="งานเหล็ก" sheetId="8" r:id="rId8"/>
    <sheet name="งานถนน" sheetId="9" r:id="rId9"/>
  </sheets>
  <externalReferences>
    <externalReference r:id="rId10"/>
  </externalReferences>
  <definedNames>
    <definedName name="_xlnm.Print_Area" localSheetId="4">แบบแสดงเหตุผล!$A$1:$E$35</definedName>
    <definedName name="_xlnm.Print_Area" localSheetId="0">ปร.4!$B$1:$L$125</definedName>
    <definedName name="_xlnm.Print_Area" localSheetId="6">'ปร.4 (ข)'!$B$1:$L$29</definedName>
    <definedName name="_xlnm.Print_Area" localSheetId="5">'ปร.4(พ)'!$B$1:$G$30</definedName>
    <definedName name="_xlnm.Print_Area" localSheetId="1">'ปร.5 ก'!$A$1:$J$52</definedName>
    <definedName name="_xlnm.Print_Area" localSheetId="3">'ปร.5 ข'!$A$1:$K$42</definedName>
    <definedName name="_xlnm.Print_Area" localSheetId="2">ปร.6!$A$1:$K$42</definedName>
    <definedName name="_xlnm.Print_Titles" localSheetId="0">ปร.4!$9:$10</definedName>
    <definedName name="_xlnm.Print_Titles" localSheetId="6">'ปร.4 (ข)'!$9:$10</definedName>
    <definedName name="ค่าขนหินAC">[1]ระยะขนส่ง!$Y$16</definedName>
    <definedName name="ค่าขนแอสฟัลท์">[1]ระยะขนส่ง!$AG$4</definedName>
    <definedName name="ระยะหินAC">[1]ระยะขนส่ง!$W$16</definedName>
    <definedName name="ระยะแอสฟัลท์">[1]ระยะขนส่ง!$AE$4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7" l="1"/>
  <c r="D8" i="10"/>
  <c r="C8" i="11"/>
  <c r="C8" i="12"/>
  <c r="D23" i="12"/>
  <c r="C6" i="12"/>
  <c r="F13" i="6"/>
  <c r="K18" i="10"/>
  <c r="F18" i="11"/>
  <c r="C6" i="11"/>
  <c r="C5" i="11"/>
  <c r="C4" i="11"/>
  <c r="D5" i="10"/>
  <c r="D7" i="6"/>
  <c r="D6" i="6"/>
  <c r="D5" i="6"/>
  <c r="D4" i="6"/>
  <c r="D4" i="2"/>
  <c r="D7" i="2"/>
  <c r="D5" i="2"/>
  <c r="D5" i="7"/>
  <c r="D4" i="7"/>
  <c r="D6" i="10"/>
  <c r="D4" i="10"/>
  <c r="J17" i="10"/>
  <c r="H17" i="10"/>
  <c r="K17" i="10" l="1"/>
  <c r="E102" i="5"/>
  <c r="J46" i="5"/>
  <c r="H46" i="5"/>
  <c r="E64" i="5"/>
  <c r="E57" i="5"/>
  <c r="E49" i="5"/>
  <c r="E50" i="5"/>
  <c r="E51" i="5"/>
  <c r="E52" i="5"/>
  <c r="E53" i="5"/>
  <c r="E54" i="5"/>
  <c r="E55" i="5"/>
  <c r="E56" i="5"/>
  <c r="E48" i="5"/>
  <c r="E37" i="5"/>
  <c r="E38" i="5"/>
  <c r="E39" i="5"/>
  <c r="E36" i="5"/>
  <c r="E34" i="5"/>
  <c r="E33" i="5"/>
  <c r="M40" i="5"/>
  <c r="E40" i="5" s="1"/>
  <c r="H22" i="5"/>
  <c r="J22" i="5"/>
  <c r="J99" i="5"/>
  <c r="H99" i="5"/>
  <c r="M67" i="5"/>
  <c r="M30" i="5"/>
  <c r="K22" i="5" l="1"/>
  <c r="K99" i="5"/>
  <c r="K46" i="5"/>
  <c r="J43" i="5"/>
  <c r="H43" i="5"/>
  <c r="J119" i="5"/>
  <c r="H119" i="5"/>
  <c r="H14" i="5"/>
  <c r="H23" i="5"/>
  <c r="H24" i="5"/>
  <c r="H15" i="5"/>
  <c r="J14" i="5"/>
  <c r="J23" i="5"/>
  <c r="J24" i="5"/>
  <c r="J15" i="5"/>
  <c r="J13" i="5"/>
  <c r="H13" i="5"/>
  <c r="J118" i="5"/>
  <c r="H118" i="5"/>
  <c r="J117" i="5"/>
  <c r="H117" i="5"/>
  <c r="J116" i="5"/>
  <c r="H116" i="5"/>
  <c r="J115" i="5"/>
  <c r="H115" i="5"/>
  <c r="J113" i="5"/>
  <c r="H113" i="5"/>
  <c r="H103" i="5"/>
  <c r="K119" i="5" l="1"/>
  <c r="K118" i="5"/>
  <c r="K43" i="5"/>
  <c r="K117" i="5"/>
  <c r="K23" i="5"/>
  <c r="K15" i="5"/>
  <c r="K14" i="5"/>
  <c r="K24" i="5"/>
  <c r="K13" i="5"/>
  <c r="K115" i="5"/>
  <c r="K113" i="5"/>
  <c r="K116" i="5"/>
  <c r="J20" i="5"/>
  <c r="J91" i="5"/>
  <c r="J92" i="5"/>
  <c r="H21" i="5"/>
  <c r="H26" i="5"/>
  <c r="J26" i="5"/>
  <c r="J111" i="5"/>
  <c r="H111" i="5"/>
  <c r="J110" i="5"/>
  <c r="H110" i="5"/>
  <c r="J109" i="5"/>
  <c r="H109" i="5"/>
  <c r="J107" i="5"/>
  <c r="H107" i="5"/>
  <c r="J106" i="5"/>
  <c r="H106" i="5"/>
  <c r="J105" i="5"/>
  <c r="H105" i="5"/>
  <c r="J103" i="5"/>
  <c r="J102" i="5"/>
  <c r="H102" i="5"/>
  <c r="J101" i="5"/>
  <c r="H101" i="5"/>
  <c r="J100" i="5"/>
  <c r="H100" i="5"/>
  <c r="J98" i="5"/>
  <c r="H98" i="5"/>
  <c r="J97" i="5"/>
  <c r="H97" i="5"/>
  <c r="J96" i="5"/>
  <c r="H96" i="5"/>
  <c r="J95" i="5"/>
  <c r="H95" i="5"/>
  <c r="J94" i="5"/>
  <c r="H94" i="5"/>
  <c r="H92" i="5"/>
  <c r="H91" i="5"/>
  <c r="J89" i="5"/>
  <c r="H89" i="5"/>
  <c r="J88" i="5"/>
  <c r="H88" i="5"/>
  <c r="J86" i="5"/>
  <c r="H86" i="5"/>
  <c r="J85" i="5"/>
  <c r="H85" i="5"/>
  <c r="J84" i="5"/>
  <c r="H84" i="5"/>
  <c r="J83" i="5"/>
  <c r="H83" i="5"/>
  <c r="J82" i="5"/>
  <c r="H82" i="5"/>
  <c r="J81" i="5"/>
  <c r="H81" i="5"/>
  <c r="J79" i="5"/>
  <c r="H79" i="5"/>
  <c r="J78" i="5"/>
  <c r="H78" i="5"/>
  <c r="J77" i="5"/>
  <c r="H77" i="5"/>
  <c r="J76" i="5"/>
  <c r="H76" i="5"/>
  <c r="J75" i="5"/>
  <c r="H75" i="5"/>
  <c r="J74" i="5"/>
  <c r="H74" i="5"/>
  <c r="J73" i="5"/>
  <c r="H73" i="5"/>
  <c r="J72" i="5"/>
  <c r="H72" i="5"/>
  <c r="J71" i="5"/>
  <c r="H71" i="5"/>
  <c r="J70" i="5"/>
  <c r="H70" i="5"/>
  <c r="J67" i="5"/>
  <c r="H67" i="5"/>
  <c r="J64" i="5"/>
  <c r="H64" i="5"/>
  <c r="J63" i="5"/>
  <c r="H63" i="5"/>
  <c r="J61" i="5"/>
  <c r="H61" i="5"/>
  <c r="J60" i="5"/>
  <c r="H60" i="5"/>
  <c r="J59" i="5"/>
  <c r="H59" i="5"/>
  <c r="J58" i="5"/>
  <c r="H58" i="5"/>
  <c r="J57" i="5"/>
  <c r="H57" i="5"/>
  <c r="J56" i="5"/>
  <c r="H56" i="5"/>
  <c r="J55" i="5"/>
  <c r="H55" i="5"/>
  <c r="J54" i="5"/>
  <c r="H54" i="5"/>
  <c r="J53" i="5"/>
  <c r="H53" i="5"/>
  <c r="J52" i="5"/>
  <c r="H52" i="5"/>
  <c r="J51" i="5"/>
  <c r="H51" i="5"/>
  <c r="J50" i="5"/>
  <c r="H50" i="5"/>
  <c r="J49" i="5"/>
  <c r="H49" i="5"/>
  <c r="J48" i="5"/>
  <c r="H48" i="5"/>
  <c r="J45" i="5"/>
  <c r="H45" i="5"/>
  <c r="J44" i="5"/>
  <c r="H44" i="5"/>
  <c r="J42" i="5"/>
  <c r="H42" i="5"/>
  <c r="J39" i="5"/>
  <c r="H39" i="5"/>
  <c r="J38" i="5"/>
  <c r="H38" i="5"/>
  <c r="J37" i="5"/>
  <c r="H37" i="5"/>
  <c r="J36" i="5"/>
  <c r="H36" i="5"/>
  <c r="J34" i="5"/>
  <c r="H34" i="5"/>
  <c r="J33" i="5"/>
  <c r="H33" i="5"/>
  <c r="J17" i="5"/>
  <c r="H68" i="5"/>
  <c r="M122" i="5" l="1"/>
  <c r="M125" i="5" s="1"/>
  <c r="J68" i="5"/>
  <c r="K68" i="5" s="1"/>
  <c r="K26" i="5"/>
  <c r="K100" i="5"/>
  <c r="K33" i="5"/>
  <c r="K63" i="5"/>
  <c r="K86" i="5"/>
  <c r="K37" i="5"/>
  <c r="K39" i="5"/>
  <c r="K85" i="5"/>
  <c r="K107" i="5"/>
  <c r="K97" i="5"/>
  <c r="K74" i="5"/>
  <c r="K81" i="5"/>
  <c r="K84" i="5"/>
  <c r="K94" i="5"/>
  <c r="K103" i="5"/>
  <c r="K102" i="5"/>
  <c r="K79" i="5"/>
  <c r="K60" i="5"/>
  <c r="K59" i="5"/>
  <c r="K58" i="5"/>
  <c r="K75" i="5"/>
  <c r="K98" i="5"/>
  <c r="K96" i="5"/>
  <c r="K95" i="5"/>
  <c r="K106" i="5"/>
  <c r="K101" i="5"/>
  <c r="K109" i="5"/>
  <c r="K111" i="5"/>
  <c r="K105" i="5"/>
  <c r="K110" i="5"/>
  <c r="K61" i="5"/>
  <c r="K88" i="5"/>
  <c r="K89" i="5"/>
  <c r="K64" i="5"/>
  <c r="K83" i="5"/>
  <c r="K82" i="5"/>
  <c r="K78" i="5"/>
  <c r="K76" i="5"/>
  <c r="K73" i="5"/>
  <c r="K72" i="5"/>
  <c r="K71" i="5"/>
  <c r="K70" i="5"/>
  <c r="K53" i="5"/>
  <c r="K51" i="5"/>
  <c r="K55" i="5"/>
  <c r="K50" i="5"/>
  <c r="K52" i="5"/>
  <c r="K54" i="5"/>
  <c r="K56" i="5"/>
  <c r="K57" i="5"/>
  <c r="K48" i="5"/>
  <c r="K45" i="5"/>
  <c r="K44" i="5"/>
  <c r="K42" i="5"/>
  <c r="K38" i="5"/>
  <c r="K36" i="5"/>
  <c r="K34" i="5"/>
  <c r="K92" i="5"/>
  <c r="K91" i="5"/>
  <c r="K77" i="5"/>
  <c r="K67" i="5"/>
  <c r="K49" i="5"/>
  <c r="J21" i="5"/>
  <c r="K21" i="5" s="1"/>
  <c r="D9" i="8"/>
  <c r="D8" i="8"/>
  <c r="D10" i="8"/>
  <c r="D7" i="8"/>
  <c r="D6" i="8"/>
  <c r="J27" i="5"/>
  <c r="H27" i="5"/>
  <c r="V81" i="5"/>
  <c r="Y81" i="5" s="1"/>
  <c r="Z81" i="5" s="1"/>
  <c r="AA81" i="5" s="1"/>
  <c r="H40" i="5" l="1"/>
  <c r="J40" i="5"/>
  <c r="K27" i="5"/>
  <c r="Y48" i="5"/>
  <c r="K40" i="5" l="1"/>
  <c r="J16" i="10"/>
  <c r="H16" i="10"/>
  <c r="J15" i="10"/>
  <c r="H15" i="10"/>
  <c r="J14" i="10"/>
  <c r="T12" i="10"/>
  <c r="K16" i="10" l="1"/>
  <c r="K15" i="10"/>
  <c r="U12" i="10"/>
  <c r="V12" i="10" s="1"/>
  <c r="H14" i="10"/>
  <c r="K14" i="10" s="1"/>
  <c r="J13" i="10" l="1"/>
  <c r="H13" i="10"/>
  <c r="N21" i="10" l="1"/>
  <c r="O21" i="10" s="1"/>
  <c r="K13" i="10"/>
  <c r="I13" i="6" l="1"/>
  <c r="D15" i="8" l="1"/>
  <c r="E15" i="8" s="1"/>
  <c r="G15" i="8" s="1"/>
  <c r="H15" i="8" s="1"/>
  <c r="E9" i="8"/>
  <c r="G9" i="8" s="1"/>
  <c r="H9" i="8" s="1"/>
  <c r="W48" i="5"/>
  <c r="X48" i="5" s="1"/>
  <c r="U41" i="5"/>
  <c r="U42" i="5"/>
  <c r="U31" i="5"/>
  <c r="D47" i="8"/>
  <c r="D48" i="8"/>
  <c r="I47" i="8"/>
  <c r="I48" i="8"/>
  <c r="G47" i="8"/>
  <c r="J47" i="8" s="1"/>
  <c r="G48" i="8"/>
  <c r="H20" i="5"/>
  <c r="D12" i="8"/>
  <c r="D13" i="8"/>
  <c r="D14" i="8"/>
  <c r="D46" i="8"/>
  <c r="E46" i="8" s="1"/>
  <c r="D44" i="8"/>
  <c r="E44" i="8" s="1"/>
  <c r="D45" i="8"/>
  <c r="E45" i="8" s="1"/>
  <c r="D43" i="8"/>
  <c r="E43" i="8" s="1"/>
  <c r="D41" i="8"/>
  <c r="E41" i="8" s="1"/>
  <c r="D42" i="8"/>
  <c r="E42" i="8" s="1"/>
  <c r="G42" i="8" s="1"/>
  <c r="D6" i="9"/>
  <c r="D7" i="9" s="1"/>
  <c r="D8" i="9" l="1"/>
  <c r="D9" i="9"/>
  <c r="D10" i="9" s="1"/>
  <c r="J48" i="8"/>
  <c r="K20" i="5"/>
  <c r="I46" i="8"/>
  <c r="G46" i="8"/>
  <c r="J46" i="8" s="1"/>
  <c r="I45" i="8"/>
  <c r="G45" i="8"/>
  <c r="I42" i="8"/>
  <c r="J42" i="8" s="1"/>
  <c r="G11" i="8"/>
  <c r="H11" i="8" s="1"/>
  <c r="I50" i="8"/>
  <c r="I49" i="8"/>
  <c r="F43" i="8"/>
  <c r="AB57" i="5"/>
  <c r="AB55" i="5"/>
  <c r="J45" i="8" l="1"/>
  <c r="G44" i="8"/>
  <c r="E49" i="8"/>
  <c r="G49" i="8" s="1"/>
  <c r="J49" i="8" s="1"/>
  <c r="G41" i="8"/>
  <c r="I41" i="8"/>
  <c r="U17" i="5"/>
  <c r="F36" i="8"/>
  <c r="D36" i="8" s="1"/>
  <c r="F35" i="8"/>
  <c r="E35" i="8" s="1"/>
  <c r="F26" i="8"/>
  <c r="D26" i="8" s="1"/>
  <c r="F27" i="8"/>
  <c r="D27" i="8" s="1"/>
  <c r="F34" i="8"/>
  <c r="E34" i="8" s="1"/>
  <c r="F33" i="8"/>
  <c r="E33" i="8" s="1"/>
  <c r="F32" i="8"/>
  <c r="D32" i="8" s="1"/>
  <c r="F28" i="8"/>
  <c r="D28" i="8" s="1"/>
  <c r="F24" i="8"/>
  <c r="E24" i="8" s="1"/>
  <c r="F25" i="8"/>
  <c r="D25" i="8" s="1"/>
  <c r="E32" i="8" l="1"/>
  <c r="E27" i="8"/>
  <c r="H27" i="8" s="1"/>
  <c r="G43" i="8"/>
  <c r="I44" i="8"/>
  <c r="J44" i="8" s="1"/>
  <c r="E28" i="8"/>
  <c r="H28" i="8" s="1"/>
  <c r="D24" i="8"/>
  <c r="H24" i="8" s="1"/>
  <c r="H32" i="8"/>
  <c r="D33" i="8"/>
  <c r="I33" i="8" s="1"/>
  <c r="I43" i="8"/>
  <c r="E50" i="8"/>
  <c r="G50" i="8" s="1"/>
  <c r="J50" i="8" s="1"/>
  <c r="E26" i="8"/>
  <c r="I26" i="8" s="1"/>
  <c r="E25" i="8"/>
  <c r="I25" i="8" s="1"/>
  <c r="J41" i="8"/>
  <c r="E36" i="8"/>
  <c r="I36" i="8" s="1"/>
  <c r="D35" i="8"/>
  <c r="D34" i="8"/>
  <c r="I34" i="8" s="1"/>
  <c r="I27" i="8" l="1"/>
  <c r="I28" i="8"/>
  <c r="H33" i="8"/>
  <c r="J43" i="8"/>
  <c r="J52" i="8" s="1"/>
  <c r="H26" i="8"/>
  <c r="H25" i="8"/>
  <c r="I35" i="8"/>
  <c r="H35" i="8"/>
  <c r="H36" i="8"/>
  <c r="H34" i="8"/>
  <c r="H29" i="8" l="1"/>
  <c r="H37" i="8"/>
  <c r="AB58" i="5" l="1"/>
  <c r="AA57" i="5"/>
  <c r="AA58" i="5"/>
  <c r="V58" i="5"/>
  <c r="V57" i="5"/>
  <c r="U58" i="5"/>
  <c r="U57" i="5"/>
  <c r="V56" i="5"/>
  <c r="U56" i="5"/>
  <c r="AB56" i="5"/>
  <c r="AA56" i="5"/>
  <c r="AA55" i="5"/>
  <c r="V55" i="5"/>
  <c r="U55" i="5"/>
  <c r="Q50" i="5"/>
  <c r="E20" i="8"/>
  <c r="C19" i="8"/>
  <c r="E18" i="8"/>
  <c r="G18" i="8" s="1"/>
  <c r="AC55" i="5" l="1"/>
  <c r="X55" i="5" s="1"/>
  <c r="AC56" i="5"/>
  <c r="X56" i="5" s="1"/>
  <c r="AC57" i="5"/>
  <c r="W57" i="5" s="1"/>
  <c r="G20" i="8"/>
  <c r="H20" i="8"/>
  <c r="I20" i="8" s="1"/>
  <c r="H18" i="8"/>
  <c r="I18" i="8" s="1"/>
  <c r="AC58" i="5"/>
  <c r="W58" i="5" s="1"/>
  <c r="E19" i="8"/>
  <c r="X57" i="5" l="1"/>
  <c r="W55" i="5"/>
  <c r="W56" i="5"/>
  <c r="X58" i="5"/>
  <c r="G19" i="8"/>
  <c r="H19" i="8"/>
  <c r="I19" i="8" s="1"/>
  <c r="K20" i="8" s="1"/>
  <c r="O48" i="5"/>
  <c r="Q52" i="5"/>
  <c r="Q51" i="5"/>
  <c r="Q48" i="5"/>
  <c r="Q49" i="5"/>
  <c r="E10" i="8" l="1"/>
  <c r="G10" i="8" s="1"/>
  <c r="H10" i="8" s="1"/>
  <c r="E8" i="8"/>
  <c r="G8" i="8" s="1"/>
  <c r="H8" i="8" s="1"/>
  <c r="E7" i="8"/>
  <c r="G7" i="8" s="1"/>
  <c r="H7" i="8" s="1"/>
  <c r="E6" i="8"/>
  <c r="G6" i="8" s="1"/>
  <c r="H6" i="8" s="1"/>
  <c r="D16" i="8"/>
  <c r="E16" i="8" s="1"/>
  <c r="G16" i="8" s="1"/>
  <c r="H16" i="8" s="1"/>
  <c r="E12" i="8"/>
  <c r="G12" i="8" s="1"/>
  <c r="H12" i="8" s="1"/>
  <c r="E13" i="8"/>
  <c r="G13" i="8" s="1"/>
  <c r="H13" i="8" s="1"/>
  <c r="E14" i="8"/>
  <c r="G14" i="8" s="1"/>
  <c r="H14" i="8" s="1"/>
  <c r="E4" i="8"/>
  <c r="H4" i="8" s="1"/>
  <c r="V45" i="5"/>
  <c r="V30" i="5"/>
  <c r="W30" i="5"/>
  <c r="I16" i="8" l="1"/>
  <c r="I10" i="8"/>
  <c r="G4" i="8"/>
  <c r="I4" i="8"/>
  <c r="Y45" i="5"/>
  <c r="J16" i="8" l="1"/>
  <c r="O124" i="5"/>
  <c r="P124" i="5" s="1"/>
  <c r="Z45" i="5"/>
  <c r="AA45" i="5" s="1"/>
  <c r="V17" i="5" l="1"/>
  <c r="W17" i="5" s="1"/>
  <c r="H29" i="5" l="1"/>
  <c r="Y30" i="5"/>
  <c r="Z30" i="5" s="1"/>
  <c r="AA30" i="5" s="1"/>
  <c r="J29" i="5"/>
  <c r="J18" i="5" l="1"/>
  <c r="H18" i="5"/>
  <c r="K29" i="5"/>
  <c r="K18" i="5" l="1"/>
  <c r="J30" i="5"/>
  <c r="H30" i="5"/>
  <c r="J28" i="5"/>
  <c r="H28" i="5"/>
  <c r="K30" i="5" l="1"/>
  <c r="K28" i="5"/>
  <c r="D3" i="7"/>
  <c r="H17" i="5" l="1"/>
  <c r="K17" i="5" l="1"/>
  <c r="K120" i="5" s="1"/>
  <c r="Q35" i="5" l="1"/>
  <c r="D8" i="7" l="1"/>
  <c r="C11" i="5"/>
  <c r="D9" i="6"/>
  <c r="D3" i="6"/>
  <c r="D2" i="6"/>
  <c r="I14" i="2"/>
  <c r="I15" i="2"/>
  <c r="I16" i="2"/>
  <c r="D9" i="2"/>
  <c r="D5" i="5"/>
  <c r="D2" i="7" s="1"/>
  <c r="D3" i="2"/>
  <c r="D2" i="2"/>
  <c r="I16" i="6"/>
  <c r="I17" i="6" s="1"/>
  <c r="I13" i="7" s="1"/>
  <c r="D18" i="6" l="1"/>
  <c r="F13" i="2"/>
  <c r="I13" i="2" l="1"/>
  <c r="M123" i="5"/>
  <c r="I22" i="2" l="1"/>
  <c r="I12" i="7"/>
  <c r="I16" i="7" s="1"/>
  <c r="I17" i="7" s="1"/>
  <c r="I23" i="2" l="1"/>
  <c r="D24" i="2" s="1"/>
  <c r="E26" i="2"/>
  <c r="D18" i="7"/>
</calcChain>
</file>

<file path=xl/sharedStrings.xml><?xml version="1.0" encoding="utf-8"?>
<sst xmlns="http://schemas.openxmlformats.org/spreadsheetml/2006/main" count="938" uniqueCount="405">
  <si>
    <t>รายการ</t>
  </si>
  <si>
    <t>หน่วย</t>
  </si>
  <si>
    <t>จำนวน</t>
  </si>
  <si>
    <t>หมายเหตุ</t>
  </si>
  <si>
    <t>โครงการ</t>
  </si>
  <si>
    <t>ส่วนราชการ</t>
  </si>
  <si>
    <t>สถานที่ก่อสร้าง</t>
  </si>
  <si>
    <t>ลำดับที่</t>
  </si>
  <si>
    <t>ประเภทงานอาคาร</t>
  </si>
  <si>
    <t>ประเภทงานสะพานและท่อเหลี่ยม</t>
  </si>
  <si>
    <t>ประเภทงานทาง</t>
  </si>
  <si>
    <t>เงื่อนไข</t>
  </si>
  <si>
    <t>สรุป</t>
  </si>
  <si>
    <t>ค่าวัสดุและค่าแรงงาน</t>
  </si>
  <si>
    <t>FACTOR F</t>
  </si>
  <si>
    <t>เงินประกันผลงานหัก  0.00 %</t>
  </si>
  <si>
    <t>ดอกเบี้ยเงินกู้  7 %  ต่อปี</t>
  </si>
  <si>
    <t>ประเภทงานชลประทาน</t>
  </si>
  <si>
    <t>รวมค่าก่อสร้างเป็นเงินทั้งสิ้น</t>
  </si>
  <si>
    <t>รวมค่าวัสดุ</t>
  </si>
  <si>
    <t>จำนวนเงิน</t>
  </si>
  <si>
    <t>และค่าแรงงาน</t>
  </si>
  <si>
    <t>ตร.ม.</t>
  </si>
  <si>
    <t>เจ้าของอาคาร</t>
  </si>
  <si>
    <t>แบบเลขที่</t>
  </si>
  <si>
    <t>ประมาณราคาตามแบบ ปร. ๔</t>
  </si>
  <si>
    <t>กรมป้องกันและบรรเทาสาธารณภัย</t>
  </si>
  <si>
    <t>แผ่น</t>
  </si>
  <si>
    <t>เงินจ่ายล่วงหน้า  15 %</t>
  </si>
  <si>
    <t>แบบ ปร.๔</t>
  </si>
  <si>
    <t>ราคาต่อหน่วย</t>
  </si>
  <si>
    <t>ชุด</t>
  </si>
  <si>
    <t>รวมหมวดงานอาคาร</t>
  </si>
  <si>
    <t>ค่าก่อสร้างทั้งหมด</t>
  </si>
  <si>
    <t>คิดเป็นยอดเงินประมาณ (SAY)</t>
  </si>
  <si>
    <t>ตัวอักษร</t>
  </si>
  <si>
    <t>ขนาดหรือเนื้อที่อาคาร</t>
  </si>
  <si>
    <t>เฉลี่ยราคาประมาณ</t>
  </si>
  <si>
    <t>ระยะเวลาการก่อสร้าง</t>
  </si>
  <si>
    <t>บาท/ตร.ม.</t>
  </si>
  <si>
    <t>วัน</t>
  </si>
  <si>
    <r>
      <rPr>
        <b/>
        <sz val="16"/>
        <rFont val="TH SarabunIT๙"/>
        <family val="2"/>
      </rPr>
      <t>รวมเป็นเงิน</t>
    </r>
    <r>
      <rPr>
        <sz val="16"/>
        <rFont val="TH SarabunIT๙"/>
        <family val="2"/>
      </rPr>
      <t xml:space="preserve"> (บาท)</t>
    </r>
  </si>
  <si>
    <t>ประเภทงานครุภัณฑ์</t>
  </si>
  <si>
    <t>ภาษีมูลค่าเพิ่ม (VAT)  7 %</t>
  </si>
  <si>
    <t>งานครุภัณฑ์</t>
  </si>
  <si>
    <t>งานอาคาร</t>
  </si>
  <si>
    <t>งานภูมิทัศน์</t>
  </si>
  <si>
    <t>ค่าใช้จ่ายพิเศษอื่นๆ</t>
  </si>
  <si>
    <t>เป็นเงินประมาณ</t>
  </si>
  <si>
    <t>แบบ ปร.๖</t>
  </si>
  <si>
    <t xml:space="preserve">ประมาณราคาเมื่อ </t>
  </si>
  <si>
    <t>ประมาณราคาเมื่อ</t>
  </si>
  <si>
    <t>ลำดับ</t>
  </si>
  <si>
    <t xml:space="preserve">ที่ </t>
  </si>
  <si>
    <t>ท่อน</t>
  </si>
  <si>
    <t>ม.</t>
  </si>
  <si>
    <t>ลบ.ม.</t>
  </si>
  <si>
    <t>กว้าง</t>
  </si>
  <si>
    <t>ยาว</t>
  </si>
  <si>
    <t>สูง</t>
  </si>
  <si>
    <t>กก.</t>
  </si>
  <si>
    <t>ต้น</t>
  </si>
  <si>
    <t>อ้างอิง</t>
  </si>
  <si>
    <t>ราคาวัสดุ</t>
  </si>
  <si>
    <t>ราคาแรงงาน</t>
  </si>
  <si>
    <t>ตะปู</t>
  </si>
  <si>
    <t>นน.</t>
  </si>
  <si>
    <t>เส้น+เผื่อ</t>
  </si>
  <si>
    <t>เส้น</t>
  </si>
  <si>
    <t>ความยาว</t>
  </si>
  <si>
    <t>A1000</t>
  </si>
  <si>
    <t>N3016</t>
  </si>
  <si>
    <t>A3000</t>
  </si>
  <si>
    <t>A3008</t>
  </si>
  <si>
    <t>A4008</t>
  </si>
  <si>
    <t>A1005</t>
  </si>
  <si>
    <t>A3012</t>
  </si>
  <si>
    <t>A5027</t>
  </si>
  <si>
    <t>A1007</t>
  </si>
  <si>
    <t>จุด</t>
  </si>
  <si>
    <t>เมตร</t>
  </si>
  <si>
    <t>รวม</t>
  </si>
  <si>
    <t>L - 65 x 65 x6 mm. (แกนตั้ง)</t>
  </si>
  <si>
    <t>L - 65 x 65 x6 mm. (แกนนอน)</t>
  </si>
  <si>
    <t>L - 65 x 65 x6 mm. (แกนทแยง)</t>
  </si>
  <si>
    <t>L - 65 x 65 x6 mm. (กากบาท)</t>
  </si>
  <si>
    <t>แบบขยาย 1,4</t>
  </si>
  <si>
    <t>แบบขยาย 2,4</t>
  </si>
  <si>
    <t>ใช้จริงทั้งหมด</t>
  </si>
  <si>
    <t>คงเหลือ</t>
  </si>
  <si>
    <t>สี</t>
  </si>
  <si>
    <t>L - 40 x 40 x3 mm. (แกนนอน)</t>
  </si>
  <si>
    <t>L - 40 x 40 x3 mm. (แกนทแยงฐาน)</t>
  </si>
  <si>
    <t>L - 40 x 40 x3 mm. (แกนทแยงบน)</t>
  </si>
  <si>
    <t>เหลือเศษ 0.08 เมตร</t>
  </si>
  <si>
    <t>15มม.</t>
  </si>
  <si>
    <t>นน.467</t>
  </si>
  <si>
    <t>นน.350</t>
  </si>
  <si>
    <t>20มม.</t>
  </si>
  <si>
    <t>N4010</t>
  </si>
  <si>
    <t>N4019</t>
  </si>
  <si>
    <t>Removal of Existing Asphalt Concrete Surface</t>
  </si>
  <si>
    <t>คิดจากความหนาของผิวทางแอสฟัลท์คอนกรีต</t>
  </si>
  <si>
    <t>ปริมาตรวัสดุที่รื้อออก</t>
  </si>
  <si>
    <t>=</t>
  </si>
  <si>
    <t>ค่าดำเนินการ + ค่าเสื่อม ดันและตัก</t>
  </si>
  <si>
    <t>ซม.</t>
  </si>
  <si>
    <t>ส่วนขยาย = 0.10 x 1.60</t>
  </si>
  <si>
    <t>[1]</t>
  </si>
  <si>
    <t>[2]</t>
  </si>
  <si>
    <t>[3]=[2]*1.6</t>
  </si>
  <si>
    <t>[4]=[3]*ค่าดำเนินการฯ</t>
  </si>
  <si>
    <t>ระยะทางขนทิ้ง 1 กม. = 7.35 บาท [5]</t>
  </si>
  <si>
    <t>[6]=[3]*[5]</t>
  </si>
  <si>
    <t>[7]=[1]+[4]+[6]</t>
  </si>
  <si>
    <t>[8]=[7]</t>
  </si>
  <si>
    <t>ค่าใช้จ่ายรวม</t>
  </si>
  <si>
    <t>ค่างานต้นทุน</t>
  </si>
  <si>
    <t>กม.</t>
  </si>
  <si>
    <t>ค่าดำเนินการ + ค่าเสื่อม รื้อผิวทางเดิมหนา 5 ซม.</t>
  </si>
  <si>
    <t>บริษัทสุคนธา</t>
  </si>
  <si>
    <t>24จุด</t>
  </si>
  <si>
    <t>สแตนเลส</t>
  </si>
  <si>
    <t>800 x 500</t>
  </si>
  <si>
    <t>Pipe DN 150 Dia. 165.2 mm (w=23.57 kg/m)</t>
  </si>
  <si>
    <t>Pipe DN 50 Dia. 89.1 mm (w=6.78 kg/m)</t>
  </si>
  <si>
    <t>1 เส้น + 1 เมตร</t>
  </si>
  <si>
    <t>2 เส้น + 2 เมตร</t>
  </si>
  <si>
    <t>1500 x 500</t>
  </si>
  <si>
    <t>2 เส้น + 3 เมตร</t>
  </si>
  <si>
    <t>2 เส้น + 2.4 เมตร</t>
  </si>
  <si>
    <t>3 เส้น</t>
  </si>
  <si>
    <t>4 เส้น</t>
  </si>
  <si>
    <t>16ตัวต่อฐาน</t>
  </si>
  <si>
    <t>แบบขยายรางน้ำ</t>
  </si>
  <si>
    <t>ราคาวัสดุส่วนกลาง</t>
  </si>
  <si>
    <t>คอนกรีต</t>
  </si>
  <si>
    <t>ไม้แบบ</t>
  </si>
  <si>
    <t>เหล็ก 9 มม.</t>
  </si>
  <si>
    <t>ลวด</t>
  </si>
  <si>
    <t>ตารางที่ 1 ตารางปริมาณเหล็กคาน</t>
  </si>
  <si>
    <t>ตารางที่ 2 กรณีเปลี่ยนเป็นเสาเหล็กกลม</t>
  </si>
  <si>
    <t>งานบ่อรับน้ำฝน</t>
  </si>
  <si>
    <t>ผนังบ่อ</t>
  </si>
  <si>
    <t>พื้นบ่อ</t>
  </si>
  <si>
    <t>เหล็กฉาก ชนิดรีดเย็น ขนาด 50 x 50 x 3.2 มม.</t>
  </si>
  <si>
    <t xml:space="preserve">4.1.3(1) งานผิวทางแอสฟัลติกคอนกรีตชั้น  Wearing Course                                     </t>
  </si>
  <si>
    <t xml:space="preserve">              ความหนา </t>
  </si>
  <si>
    <t>ปริมาณ ASPHALTIC CONCRETE ทั้งหมด</t>
  </si>
  <si>
    <t>………….x</t>
  </si>
  <si>
    <t>ตัน</t>
  </si>
  <si>
    <t>ปริมาณ ASPHALTIC CONCRETE ที่ใช้คำนวณ</t>
  </si>
  <si>
    <t>[3]</t>
  </si>
  <si>
    <t>ค่าติดตั้งเครื่องผสม  250,000  บาท</t>
  </si>
  <si>
    <t>/……..</t>
  </si>
  <si>
    <t>บาท/ตัน AC</t>
  </si>
  <si>
    <t>[4] = 250,000/[3]</t>
  </si>
  <si>
    <t>(จากตารางค่าดำเนินการฯ)</t>
  </si>
  <si>
    <t>ปริมาณ ASPHALTIC CONCRETE</t>
  </si>
  <si>
    <t>[5] = [3]</t>
  </si>
  <si>
    <t>ปริมาณ AC 1 ตัน ปูได้……….ตร.ม.</t>
  </si>
  <si>
    <t>[6] (ตารางที่ 3)</t>
  </si>
  <si>
    <t>ค่าขนส่งอุปกรณ์ AC</t>
  </si>
  <si>
    <t>บาท/ตันอุปกรณ์</t>
  </si>
  <si>
    <t>[7] (จากตารางค่าขนส่ง)</t>
  </si>
  <si>
    <t>ค่าขนส่งอุปกรณ์ 80 ตัน 100 กม.</t>
  </si>
  <si>
    <t xml:space="preserve">…………...x </t>
  </si>
  <si>
    <t>80/</t>
  </si>
  <si>
    <t>[8] = [7] x 80 / [5]</t>
  </si>
  <si>
    <t>ค่าติดตั้งเครื่องผสม  250,000  บาท/ครั้ง</t>
  </si>
  <si>
    <t>[9] = [4]</t>
  </si>
  <si>
    <t>ค่าวัสดุยาง AC 60/70</t>
  </si>
  <si>
    <t>บาท/ตันวัสดุ</t>
  </si>
  <si>
    <t>[10]</t>
  </si>
  <si>
    <t>ค่าขนส่งยาง AC 60/70</t>
  </si>
  <si>
    <t>[11] (จากตารางค่าขนส่ง)</t>
  </si>
  <si>
    <t>ค่ายาง AC  5.2% ของปริมาณวัสดุมวลรวม</t>
  </si>
  <si>
    <t>[12] = ([10]+[11]) x 5.2</t>
  </si>
  <si>
    <t>ค่าหินจากแหล่ง</t>
  </si>
  <si>
    <t>บาท/ลบ.ม.</t>
  </si>
  <si>
    <t>[13]</t>
  </si>
  <si>
    <t>(คิดเฉลี่ยขนาดต่างๆ หินฝุ่น 0.50 ลบ.ม., หิน 3/4" 0.25 ลบ.ม., หิน 1/2" 0.10 ลบ.ม., หิน 3/8" 0.15 ลบ.ม.)</t>
  </si>
  <si>
    <t>ค่าขนส่งหินจากแหล่ง</t>
  </si>
  <si>
    <t>[14] (จากตารางต่าขนส่ง)</t>
  </si>
  <si>
    <t>รวมราคาหิน</t>
  </si>
  <si>
    <t>[15] = [13] + [14]</t>
  </si>
  <si>
    <t>ค่าหิน 0.74 ลบ.ม. @</t>
  </si>
  <si>
    <t>x</t>
  </si>
  <si>
    <t>[16] = [15] x 0.74</t>
  </si>
  <si>
    <t>ค่าดำเนินการ + ค่าเสื่อมราคาค่าผสมวัสดุแอสฟัลท์</t>
  </si>
  <si>
    <t xml:space="preserve">บาท/ตัน AC                    </t>
  </si>
  <si>
    <t>[17](จากตารางค่าดำเนินการฯ)</t>
  </si>
  <si>
    <t>ค่าขนส่ง AC กำหนดให้ไม่เกินระยะ L/4</t>
  </si>
  <si>
    <t>[18] (จากตารางค่าขนส่ง)</t>
  </si>
  <si>
    <t>ค่าสัมประสิทธิ์การบดทับ</t>
  </si>
  <si>
    <t>[19] (ตารางที่ 3)</t>
  </si>
  <si>
    <t>ค่าดำเนินการ+เสื่อมราคาปูลาดและบดทับหนา</t>
  </si>
  <si>
    <t>ซม. บน Prime Coat</t>
  </si>
  <si>
    <t>[20](จากตารางค่าดำเนินการฯ)</t>
  </si>
  <si>
    <t>ซม. บน Tack Coat</t>
  </si>
  <si>
    <t>ค่าใช้จ่ายรวม ค่างาน Asphaltic Concrete ปูบน Prime Coat</t>
  </si>
  <si>
    <t>[21] = [6] x [20]</t>
  </si>
  <si>
    <t>[22] = [8]+[9]+[12]+[16]+[17]+[18]+[21]</t>
  </si>
  <si>
    <t>ค่างานต้นทุน Asphaltic Concrete ปูบน Prime Coat</t>
  </si>
  <si>
    <t>[23] = [22] / [6]</t>
  </si>
  <si>
    <t>ค่าใช้จ่ายรวม ค่างาน Asphaltic Concrete ปูบน Tack Coat</t>
  </si>
  <si>
    <t>ค่างานต้นทุน Asphaltic Concrete ปูบน Tack Coat</t>
  </si>
  <si>
    <t xml:space="preserve">4.1.3(2) งานผิวทางแอสฟัลติกคอนกรีตชั้น  Binder Course                                     </t>
  </si>
  <si>
    <t>ความหนา</t>
  </si>
  <si>
    <t>ค่ายาง AC  5.1% ของปริมาณวัสดุมวลรวม</t>
  </si>
  <si>
    <t>[12] = ([10]+[11]) x 5.1</t>
  </si>
  <si>
    <t>[22] = [8]+[9]+[12]+[21]</t>
  </si>
  <si>
    <t>งานผิวทางและไหล่ทาง</t>
  </si>
  <si>
    <t>งานผิวทาง</t>
  </si>
  <si>
    <t>4.1.1</t>
  </si>
  <si>
    <t>PRIME  COAT  &amp;  TACK  COAT   สำหรับผิวทาง</t>
  </si>
  <si>
    <t>4.1.1(1)  PRIME  COAT</t>
  </si>
  <si>
    <t>ค่ายาง CSS-1 (1.0 x Yp /1000)    จากตารางที่ 1 ……………………..</t>
  </si>
  <si>
    <t xml:space="preserve"> =</t>
  </si>
  <si>
    <t>ค่าดำเนินการ + ค่าเสื่อมราคา</t>
  </si>
  <si>
    <t>[3] = [1] + [2]</t>
  </si>
  <si>
    <t>ค่ายาง   (MC-70) (1.0 x Yp /1000)  จากตารางที่ 1 ……………………..</t>
  </si>
  <si>
    <t>4.1.2(2)  TACK  COAT</t>
  </si>
  <si>
    <t xml:space="preserve"> ค่ายาง CRS-2  (0.3 x Y /1000) 0.30 ลิตร  @ ……………………..</t>
  </si>
  <si>
    <t>เหล็กแผ่นเรียบ ขนาด 50 x 5 มม.</t>
  </si>
  <si>
    <t>เหล็กแผ่นเรียบ ขนาด 50 x 10 มม.</t>
  </si>
  <si>
    <t>ราคาสพฐ</t>
  </si>
  <si>
    <t>ราคารวมขน</t>
  </si>
  <si>
    <t>ค่าขนต่อตัน</t>
  </si>
  <si>
    <t>ค่าขนลงรถ</t>
  </si>
  <si>
    <t>L - 65 x 65 x6 mm. (แกนทแยง)  0.50 x 1.00</t>
  </si>
  <si>
    <t>L - 65 x 65 x6 mm. (แกนทแยง)  0.70 x 1.00</t>
  </si>
  <si>
    <t>เหมา</t>
  </si>
  <si>
    <t xml:space="preserve"> </t>
  </si>
  <si>
    <t>L - 100 x 100 x 7 mm. (คานตรง)</t>
  </si>
  <si>
    <t>เหลือเศษ - เมตร</t>
  </si>
  <si>
    <t>ศอบ.08/2566</t>
  </si>
  <si>
    <t>งานโครงสร้างวิศวกรรม</t>
  </si>
  <si>
    <t>งานขุดดินและถมคืน</t>
  </si>
  <si>
    <t>งานทรายหยาบรองฐานรากอัดแน่น</t>
  </si>
  <si>
    <t>งานเสาเข็ม</t>
  </si>
  <si>
    <t xml:space="preserve"> -งานสกัดหัวเสาเข็ม</t>
  </si>
  <si>
    <t>งานแบบหล่อคอนกรีต</t>
  </si>
  <si>
    <t xml:space="preserve"> -ค่าแรงแบบหล่อคอนกรีต</t>
  </si>
  <si>
    <t xml:space="preserve">  </t>
  </si>
  <si>
    <t xml:space="preserve"> -ไม้ใช้ทำไม้แบบใช้ 30%</t>
  </si>
  <si>
    <t xml:space="preserve"> -ไม้คร่าว</t>
  </si>
  <si>
    <t xml:space="preserve"> -ไม้ค้ำยัน</t>
  </si>
  <si>
    <t xml:space="preserve"> -ตะปู</t>
  </si>
  <si>
    <t>งานเหล็กเสริมคอนกรีต</t>
  </si>
  <si>
    <t>งานคอนกรีต</t>
  </si>
  <si>
    <t xml:space="preserve">  - คอนกรีตหยาบ 1:3:5 </t>
  </si>
  <si>
    <t xml:space="preserve">  - คอนกรีต 280 ksc.(ลูกบาศก์ 15x15x15 )</t>
  </si>
  <si>
    <t xml:space="preserve">  -NON SHRINK CEMENT</t>
  </si>
  <si>
    <t>LS</t>
  </si>
  <si>
    <t xml:space="preserve"> งานโครงหลังคาเหล็ก</t>
  </si>
  <si>
    <t xml:space="preserve">  - LLC 150 x 75 x 20x3.2 มม. (8.01 กก./ม.)</t>
  </si>
  <si>
    <t xml:space="preserve">  - Rectangular Tube 50 x 25 x 3.2 มม. หนัก 3.24 กก./ม.</t>
  </si>
  <si>
    <t xml:space="preserve">  - Rectangular Tube 50 x 25 x 2.3 มม. หนัก 2.44 กก./ม.</t>
  </si>
  <si>
    <t xml:space="preserve">  - Flat Bar 50x100x4.5 mm.</t>
  </si>
  <si>
    <t xml:space="preserve">  - Flat Bar 25x50x4.5 mm.</t>
  </si>
  <si>
    <t xml:space="preserve">    - ลวดผูกเหล้ก เบอร์ 18</t>
  </si>
  <si>
    <t xml:space="preserve">  - PL 300x400x12 mm.</t>
  </si>
  <si>
    <t xml:space="preserve">  - Stifferner 10 mm.</t>
  </si>
  <si>
    <t xml:space="preserve">  - ทาสีน้ำมันโครงหลังคาเหล็ก</t>
  </si>
  <si>
    <t xml:space="preserve"> งานหูช้าง</t>
  </si>
  <si>
    <t xml:space="preserve">  - PL 250x300x15 mm.</t>
  </si>
  <si>
    <t xml:space="preserve"> งานสถาปัตย์กรรม</t>
  </si>
  <si>
    <t xml:space="preserve">    - ฉาบปูนเรียบ</t>
  </si>
  <si>
    <t xml:space="preserve">    - Siding metal Sheet รีดลอน(BMT 0.35 มม.และ TCT 0.40 มม.)</t>
  </si>
  <si>
    <t xml:space="preserve">    - Rectangular Tube 75 x 45 x 3.2 มม. หนัก 5.50 กก./ม.</t>
  </si>
  <si>
    <t xml:space="preserve">    - Rectangular Tube 50 x 25 x 3.2 มม. หนัก 3.24 กก./ม.</t>
  </si>
  <si>
    <t xml:space="preserve">    - Equal Angle 50 x 50 x 4.0 มม. หนัก 3.06 กก./ม.</t>
  </si>
  <si>
    <t xml:space="preserve">    - Bolts ยึดผนัง Metal Sheet รีดลอน </t>
  </si>
  <si>
    <t>ตัว</t>
  </si>
  <si>
    <t xml:space="preserve">    - PL 100x150x6 mm.</t>
  </si>
  <si>
    <t xml:space="preserve">    - Flashing Metal Sheet</t>
  </si>
  <si>
    <t xml:space="preserve">    - เกล็ดบานระบายลม Metal Sheet</t>
  </si>
  <si>
    <t xml:space="preserve">    - ทาสีน้ำมันโครงคร่าวเหล็ก</t>
  </si>
  <si>
    <t xml:space="preserve"> งานผนังก่อด้วยวัสดุก่อ </t>
  </si>
  <si>
    <t xml:space="preserve"> ผนังกรุ Siding Metal Sheet เคลือบอลูซิงค์ โครงคร่าวเหล็ก</t>
  </si>
  <si>
    <t xml:space="preserve"> หลังคามุง Metal Sheet รีดลอน เคลือบอลูซิงค์</t>
  </si>
  <si>
    <t xml:space="preserve">    - Siding metal Sheet รีดลอน 0.40 มม.</t>
  </si>
  <si>
    <t xml:space="preserve">    - แผ่นหลังคา Metal Sheet รีดลอน 0.50 มม.</t>
  </si>
  <si>
    <t xml:space="preserve">    - แผ่นหลังคาใส หนา 1.5 มม.</t>
  </si>
  <si>
    <t xml:space="preserve">    - Bolts ยึดหลังคา Metal Sheet รีดลอน </t>
  </si>
  <si>
    <t xml:space="preserve"> งานฉาบปูนโครงสร้าง </t>
  </si>
  <si>
    <t xml:space="preserve">    -ทาสีน้ำอะครีลิคภายใน</t>
  </si>
  <si>
    <t xml:space="preserve">    -ทาสีน้ำอะครีลิคภายนอก</t>
  </si>
  <si>
    <t xml:space="preserve">  งานทาสี</t>
  </si>
  <si>
    <t xml:space="preserve"> งานตกแต่งผิวพื้น คสล.</t>
  </si>
  <si>
    <t xml:space="preserve">    - ขัดมันเรียบ</t>
  </si>
  <si>
    <t xml:space="preserve"> งานระบบไฟฟ้า</t>
  </si>
  <si>
    <t xml:space="preserve">   - CLAMP PVC</t>
  </si>
  <si>
    <t xml:space="preserve"> ท่อร้อยสายไฟ</t>
  </si>
  <si>
    <t xml:space="preserve">สายไฟฟ้า </t>
  </si>
  <si>
    <t xml:space="preserve">    - THW 1.5 sq.mm.</t>
  </si>
  <si>
    <t xml:space="preserve">    - สายไฟฟ้าต่อภายนอกอาคารพร้อมอุปกรณ์</t>
  </si>
  <si>
    <t>ตู้ควบคุมไฟฟ้า</t>
  </si>
  <si>
    <t xml:space="preserve">   - Load Center 3P 4 สาย</t>
  </si>
  <si>
    <t xml:space="preserve">   - Consumer Unit 14ช่อง</t>
  </si>
  <si>
    <t xml:space="preserve">   - โคมไฮเบย์ 250 Watt E40 ขนาด 470 x 470 x530 mm.</t>
  </si>
  <si>
    <t xml:space="preserve">   - โคมโรงงานปีกสะท้อนแสง 1x36 Watt พร้อมหลอดและอุปกรณ์</t>
  </si>
  <si>
    <t xml:space="preserve">   - สวิตช์ 16 A</t>
  </si>
  <si>
    <t xml:space="preserve">   - เต้ารับคู่ขากลม-แบบ 16 A(มีสายดิน)</t>
  </si>
  <si>
    <t>ลบ.ฟ.</t>
  </si>
  <si>
    <t>งานประตูม้วน + มอเตอร์ไฟฟ้า</t>
  </si>
  <si>
    <t xml:space="preserve"> - ฝาปิดกล่อง  4  ด้าน  โครงเหล็กกล่อง  1" x 2" </t>
  </si>
  <si>
    <t xml:space="preserve"> - ชุดเพลาตัน   6"</t>
  </si>
  <si>
    <t xml:space="preserve"> - ชุดมอเตอร์  ST  1,000  Kg. + เฟืองโซ่ + ลูกกดรีโมท  206  D</t>
  </si>
  <si>
    <t xml:space="preserve"> - ฐานรองมอเตอร์ + หล่องหุ้ม + ฝาปิด ฐานล่างมียางกันน้ำ + เสาด้าน</t>
  </si>
  <si>
    <t>งานเตรียมงานและงานรื้อถอน</t>
  </si>
  <si>
    <t>หลุ่ม</t>
  </si>
  <si>
    <t>งานขุดปรับแต่งดินเดิม</t>
  </si>
  <si>
    <t>งานหินคลุก (บดอัดแน่น)</t>
  </si>
  <si>
    <t>งานดินถม (บดอัดแน่น)</t>
  </si>
  <si>
    <t>งานเจาะสำรวจและทดสอบดิน  Boring Test</t>
  </si>
  <si>
    <t xml:space="preserve">  - คอนกรีต 320 ksc.(ลูกบาศก์ 15x15x15 )</t>
  </si>
  <si>
    <t>งานเครนเหนือศรีษะวิ่งบนรางแบบคานเดี่ยว ยกน้ำหนัก 5 ตัน</t>
  </si>
  <si>
    <t xml:space="preserve"> - ชุดรอกสลิงไฟฟ้า</t>
  </si>
  <si>
    <t xml:space="preserve"> - ชุดเครนเหนือศรีษะ</t>
  </si>
  <si>
    <t xml:space="preserve"> - ค่าบริการติดตั้งและขนส่ง</t>
  </si>
  <si>
    <t xml:space="preserve"> - ชุดระบบไฟฟ้าสำหรับเครน ตามแนวยาว</t>
  </si>
  <si>
    <t xml:space="preserve">      พร้อมหลอดและอุปกรณ์</t>
  </si>
  <si>
    <t xml:space="preserve">   ข้างอัดยาง  ขนาด   50  x 70</t>
  </si>
  <si>
    <t>งานตัด-ริดกิ่งต้นไม้ยางนา</t>
  </si>
  <si>
    <t xml:space="preserve">   - ข้อต่อท่อและอุปกรณ์ เช่น  เทปพันสายไฟ</t>
  </si>
  <si>
    <t xml:space="preserve"> -งานทดสอบความสมบูรณ์ของเสาเข็ม</t>
  </si>
  <si>
    <t xml:space="preserve">   - Steel Wire way  100 x 150 มม.ยาว 2.40 ม.</t>
  </si>
  <si>
    <t xml:space="preserve">    - THW 4.0 sq.mm.</t>
  </si>
  <si>
    <t xml:space="preserve"> - ชุด "ทาง" วิ่งพร้อม "ราง" วิ่งเครน ตามแนวยาว</t>
  </si>
  <si>
    <t>Vat 7 %</t>
  </si>
  <si>
    <t>ค่าใช้จ่ายในการดำเนินการด้านขยายเขตไฟฟ้า</t>
  </si>
  <si>
    <t xml:space="preserve"> - พลาสติกปูพื้นก่อนเทคอนกรีต</t>
  </si>
  <si>
    <t>แบบ ปร.๕(ก)</t>
  </si>
  <si>
    <t xml:space="preserve">    - ขัดหยาบผิวพื้นพร้อมขีดร่องลายก้างปลา</t>
  </si>
  <si>
    <t xml:space="preserve">    - คอนกรีตบล๊อค 19x39x9 ซม.</t>
  </si>
  <si>
    <t>แบบสรุปราคากลางงานก่อสร้างอาคาร</t>
  </si>
  <si>
    <r>
      <t xml:space="preserve">ส่วนราชการ     </t>
    </r>
    <r>
      <rPr>
        <i/>
        <sz val="14"/>
        <rFont val="Angsana New"/>
        <family val="1"/>
      </rPr>
      <t/>
    </r>
  </si>
  <si>
    <t>เจ้าของโครงการ</t>
  </si>
  <si>
    <t>สถานที่ดำเนินการ</t>
  </si>
  <si>
    <t>ตามแบบเลขที่</t>
  </si>
  <si>
    <t>ส่วนป้องกันและปฏิบัติการ</t>
  </si>
  <si>
    <t>ราคากลาง</t>
  </si>
  <si>
    <t xml:space="preserve">ออกแบบและประมาณราคา    </t>
  </si>
  <si>
    <t>แบบสรุปค่าก่อสร้าง</t>
  </si>
  <si>
    <t>ศูนย์ป้องกันและบรรเทาสาธารณภัย เขต 13 อุบลราชธานี ตำบลขามใหญ่ อำเภอเมืองอุบลราชธานี จังหวัดอุบลราชธานี</t>
  </si>
  <si>
    <t>แบบ ปร.๕(ข)</t>
  </si>
  <si>
    <t>…...........สุดท้าย.................</t>
  </si>
  <si>
    <r>
      <t>ราคาวัสดุ</t>
    </r>
    <r>
      <rPr>
        <sz val="16"/>
        <rFont val="TH SarabunPSK"/>
        <family val="2"/>
      </rPr>
      <t xml:space="preserve"> (บาท)</t>
    </r>
  </si>
  <si>
    <r>
      <t>ราคาแรงงาน</t>
    </r>
    <r>
      <rPr>
        <sz val="16"/>
        <rFont val="TH SarabunPSK"/>
        <family val="2"/>
      </rPr>
      <t xml:space="preserve"> (บาท)</t>
    </r>
  </si>
  <si>
    <t xml:space="preserve"> -งานเสาเข็ม ขนาด      0.30 x 0.30 x 10  ม.</t>
  </si>
  <si>
    <t xml:space="preserve">    -  RB 6  มม.  (2.22 กก./เส้น)</t>
  </si>
  <si>
    <t xml:space="preserve">    -  RB 9  มม.  (4.99 กก./เส้น)</t>
  </si>
  <si>
    <t xml:space="preserve">    - DB 12 มม. (8.88 กก./เส้น)</t>
  </si>
  <si>
    <t xml:space="preserve">    - DB 16 มม. (15.78 กก./เส้น)</t>
  </si>
  <si>
    <t xml:space="preserve">    - DB 20 มม. (24.70 กก./เส้น)</t>
  </si>
  <si>
    <t xml:space="preserve">    - DB 25 มม. (38.50 กก./เส้น)</t>
  </si>
  <si>
    <r>
      <t xml:space="preserve">  - Steel Pipe  </t>
    </r>
    <r>
      <rPr>
        <sz val="16"/>
        <rFont val="TH SarabunIT๙"/>
        <family val="2"/>
      </rPr>
      <t>Ø</t>
    </r>
    <r>
      <rPr>
        <sz val="16"/>
        <rFont val="TH SarabunPSK"/>
        <family val="2"/>
      </rPr>
      <t>3" 89.1x3.2 mm. หนัก 6.78 กก./ม.</t>
    </r>
  </si>
  <si>
    <t xml:space="preserve">  - Steel Pipe  Ø1 1/2" 48.6x2.8 mm. หนัก 3.16 กก./ม.</t>
  </si>
  <si>
    <t xml:space="preserve">  - Steel Pipe  Ø2" 60.5x3.2 mm. หนัก 4.52 กก./ม.</t>
  </si>
  <si>
    <t xml:space="preserve">  - Bolts Ø15 มม. &amp; ทำเกลียวพร้อมน๊อตและแหวนรอง </t>
  </si>
  <si>
    <t xml:space="preserve">  - Turn Buckle &amp; สลิง Ø 1/2</t>
  </si>
  <si>
    <t xml:space="preserve">  - Sag rod Ø 15 มม. &amp; ทำเกลรียวพร้อมน๊อตและแหวนรอง</t>
  </si>
  <si>
    <t xml:space="preserve">  - Bolts Ø 15 มม. &amp; ทำเกลียวพร้อมน๊อตและแหวนรอง </t>
  </si>
  <si>
    <t xml:space="preserve">    - Bolts Ø 3/8 " </t>
  </si>
  <si>
    <t xml:space="preserve">   - ท่อ PVC (สีเหลือง) Ø 1/2"</t>
  </si>
  <si>
    <t xml:space="preserve">   - ท่อ PVC (สีเหลือง) Ø 3/4"</t>
  </si>
  <si>
    <t>แบบ ปร.๔(ข)</t>
  </si>
  <si>
    <t>ประมาณราคาค่างานครุภัณฑ์</t>
  </si>
  <si>
    <t>แบบสรุปค่างานครุภัณฑ์</t>
  </si>
  <si>
    <t>หมวดงานครุภัณฑ์</t>
  </si>
  <si>
    <t>แบบแสดงรายการ ปริมาณงานและราคา</t>
  </si>
  <si>
    <t xml:space="preserve"> 2.7.2 เหล็กเส้นกลมผิวข้ออ้อย SD 40</t>
  </si>
  <si>
    <t xml:space="preserve"> 2.7.1 เหล็กเส้นกลมผิวเรียบ SR 24</t>
  </si>
  <si>
    <t xml:space="preserve">ก่อสร้างอาคารเก็บสะพานเบลี่ย์ และวัสดุอุปกรณ์พร้อมโอเวอร์เฮดเครน </t>
  </si>
  <si>
    <t xml:space="preserve">จำนวน </t>
  </si>
  <si>
    <t>(ค่าก่อสร้าง)</t>
  </si>
  <si>
    <t>หน่วย:บาท</t>
  </si>
  <si>
    <t>แบบแสดงรายการ ปริมาณงาน และราคา</t>
  </si>
  <si>
    <t>แบบ ปร.๔(พ)</t>
  </si>
  <si>
    <t>ค่าขยายเขตงานก่อสร้าง</t>
  </si>
  <si>
    <t xml:space="preserve"> - รื้อถอนเสาคอนกรีตอัดแรงขนาด 8 ม.จำนวน 4 ต้นพร้อมอุปกรณ์ประกอบ</t>
  </si>
  <si>
    <t xml:space="preserve"> - ปักเสาคอนกรีตอัดแรงขนาด 9 ม.จำนวน 5 ต้นพร้อมอุปกรณ์ประกอบ</t>
  </si>
  <si>
    <t xml:space="preserve"> - รื้อถอนสาย/พาดสายอะลูมิเนี่ยหุ้มฉนวน 4สาย,2วงจร ระยะ 120 ม.</t>
  </si>
  <si>
    <t xml:space="preserve">  - ติดตั้งกับดักเสิร์จพร้อมสายกราวด์แรงต่ำ จำนวน 2 ชุด</t>
  </si>
  <si>
    <t xml:space="preserve">ส่วนราชการ  </t>
  </si>
  <si>
    <t>รวมค่าใช้จ่ายพิเศษตามข้อกำหนดฯ ทุกรายการ</t>
  </si>
  <si>
    <t>(ค่าใช้จ่ายพิเศษตามข้อกำหนดและค่าใช้จ่ายอื่นๆที่จำเป็นต้องมี)</t>
  </si>
  <si>
    <t>รวมราคาหมวดงานครุภัณฑ์</t>
  </si>
  <si>
    <t>แบบแสดงการคำนวณและเหตุผลความจำเป็น</t>
  </si>
  <si>
    <t>สำหรับค่าใช้จ่ายพิเศษตามข้อกำหนดฯ</t>
  </si>
  <si>
    <t>1. เหตุผลและความจำเป็นที่ต้องมีค่าใช้จ่ายพิเศษตามข้อกำหนดฯ รายการนี้</t>
  </si>
  <si>
    <t>2. รายละเอียดการคำนวณ</t>
  </si>
  <si>
    <t>ที่</t>
  </si>
  <si>
    <t>รายการค่าใช้จ่าย</t>
  </si>
  <si>
    <t>รวมค่าใช้จ่าย</t>
  </si>
  <si>
    <t>ค่าภาษีมูลค่าเพิ่ม</t>
  </si>
  <si>
    <t>ค่าใช้จ่ายรวมภาษีมูลค่าเพิ่ม</t>
  </si>
  <si>
    <t>หน้าที่ 1/1</t>
  </si>
  <si>
    <t xml:space="preserve">    ย้ายเสาไฟฟ้าและแนวสายไฟฟ้าแรงดันต่ำออกจากพื้นที่โครงการก่อสร้าง</t>
  </si>
  <si>
    <t>วันที่  11 มิถุนายน 2567</t>
  </si>
  <si>
    <t>ประมาณราคาตามแบบ ปร. ๔(ข)</t>
  </si>
  <si>
    <t xml:space="preserve"> - ประตูเหล็กม้วนลอนเดี่ยวสีเทาเบอร์  18  ลอนใหญ่  หนา  1.2  มม.</t>
  </si>
  <si>
    <t xml:space="preserve">   ขนาด  5.6 x 5.2  เมตร  ม้วนใน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</si>
</sst>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_-* #,##0.0000_-;\-* #,##0.0000_-;_-* &quot;-&quot;??_-;_-@_-"/>
    <numFmt numFmtId="167" formatCode="0.0000"/>
    <numFmt numFmtId="168" formatCode="0.000"/>
  </numFmts>
  <fonts count="41" x14ac:knownFonts="1">
    <font>
      <sz val="14"/>
      <name val="Cordia New"/>
      <charset val="222"/>
    </font>
    <font>
      <sz val="16"/>
      <color theme="1"/>
      <name val="AngsanaUPC"/>
      <family val="2"/>
      <charset val="222"/>
    </font>
    <font>
      <sz val="14"/>
      <name val="Cordia New"/>
      <family val="2"/>
    </font>
    <font>
      <sz val="14"/>
      <name val="Cordia New"/>
      <family val="2"/>
    </font>
    <font>
      <sz val="16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8"/>
      <name val="TH SarabunIT๙"/>
      <family val="2"/>
    </font>
    <font>
      <b/>
      <u/>
      <sz val="16"/>
      <name val="TH SarabunIT๙"/>
      <family val="2"/>
    </font>
    <font>
      <sz val="14"/>
      <name val="Angsana New"/>
      <family val="1"/>
    </font>
    <font>
      <sz val="10"/>
      <color theme="1"/>
      <name val="Arial"/>
      <family val="2"/>
      <charset val="222"/>
    </font>
    <font>
      <b/>
      <sz val="14"/>
      <name val="Angsana New"/>
      <family val="1"/>
    </font>
    <font>
      <b/>
      <sz val="14"/>
      <color rgb="FFFF0000"/>
      <name val="Angsana New"/>
      <family val="1"/>
    </font>
    <font>
      <b/>
      <u val="double"/>
      <sz val="14"/>
      <name val="Angsana New"/>
      <family val="1"/>
    </font>
    <font>
      <b/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14"/>
      <color rgb="FFC00000"/>
      <name val="AngsanaUPC"/>
      <family val="1"/>
    </font>
    <font>
      <b/>
      <sz val="16"/>
      <name val="AngsanaUPC"/>
      <family val="1"/>
    </font>
    <font>
      <b/>
      <sz val="14"/>
      <name val="AngsanaUPC"/>
      <family val="1"/>
    </font>
    <font>
      <b/>
      <sz val="14"/>
      <color rgb="FF002060"/>
      <name val="AngsanaUPC"/>
      <family val="1"/>
    </font>
    <font>
      <b/>
      <sz val="14"/>
      <color rgb="FFC00000"/>
      <name val="AngsanaUPC"/>
      <family val="1"/>
    </font>
    <font>
      <sz val="16"/>
      <name val="AngsanaUPC"/>
      <family val="1"/>
    </font>
    <font>
      <sz val="16"/>
      <color rgb="FFC00000"/>
      <name val="AngsanaUPC"/>
      <family val="1"/>
    </font>
    <font>
      <b/>
      <sz val="16"/>
      <color rgb="FF002060"/>
      <name val="AngsanaUPC"/>
      <family val="1"/>
    </font>
    <font>
      <b/>
      <sz val="16"/>
      <color rgb="FFC00000"/>
      <name val="AngsanaUPC"/>
      <family val="1"/>
    </font>
    <font>
      <b/>
      <u/>
      <sz val="16"/>
      <color rgb="FFC00000"/>
      <name val="AngsanaUPC"/>
      <family val="1"/>
    </font>
    <font>
      <i/>
      <sz val="14"/>
      <name val="Angsana New"/>
      <family val="1"/>
    </font>
    <font>
      <sz val="16"/>
      <color rgb="FFFF000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6"/>
      <color theme="1"/>
      <name val="TH SarabunPSK"/>
      <family val="2"/>
    </font>
    <font>
      <sz val="16"/>
      <color rgb="FFC00000"/>
      <name val="TH SarabunPSK"/>
      <family val="2"/>
    </font>
    <font>
      <b/>
      <sz val="18"/>
      <name val="TH SarabunPSK"/>
      <family val="2"/>
    </font>
    <font>
      <b/>
      <u/>
      <sz val="16"/>
      <color rgb="FFC00000"/>
      <name val="TH SarabunPSK"/>
      <family val="2"/>
    </font>
    <font>
      <b/>
      <sz val="16"/>
      <color rgb="FFC00000"/>
      <name val="TH SarabunPSK"/>
      <family val="2"/>
    </font>
    <font>
      <b/>
      <sz val="14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2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3" fontId="5" fillId="0" borderId="0" xfId="0" applyNumberFormat="1" applyFont="1"/>
    <xf numFmtId="0" fontId="8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43" fontId="4" fillId="0" borderId="7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43" fontId="4" fillId="0" borderId="10" xfId="0" applyNumberFormat="1" applyFont="1" applyBorder="1"/>
    <xf numFmtId="0" fontId="9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3" xfId="0" applyFont="1" applyBorder="1"/>
    <xf numFmtId="43" fontId="4" fillId="0" borderId="21" xfId="0" applyNumberFormat="1" applyFont="1" applyBorder="1"/>
    <xf numFmtId="43" fontId="6" fillId="0" borderId="14" xfId="1" applyFont="1" applyBorder="1"/>
    <xf numFmtId="43" fontId="6" fillId="0" borderId="7" xfId="1" applyFont="1" applyBorder="1"/>
    <xf numFmtId="165" fontId="4" fillId="0" borderId="17" xfId="0" applyNumberFormat="1" applyFont="1" applyBorder="1"/>
    <xf numFmtId="165" fontId="4" fillId="0" borderId="22" xfId="0" applyNumberFormat="1" applyFont="1" applyBorder="1"/>
    <xf numFmtId="43" fontId="4" fillId="0" borderId="17" xfId="0" applyNumberFormat="1" applyFont="1" applyBorder="1"/>
    <xf numFmtId="0" fontId="6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 applyAlignment="1">
      <alignment horizontal="center"/>
    </xf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30" xfId="0" applyFont="1" applyBorder="1"/>
    <xf numFmtId="0" fontId="4" fillId="0" borderId="36" xfId="0" applyFont="1" applyBorder="1"/>
    <xf numFmtId="0" fontId="9" fillId="0" borderId="37" xfId="0" applyFont="1" applyBorder="1" applyAlignment="1">
      <alignment horizontal="center"/>
    </xf>
    <xf numFmtId="0" fontId="4" fillId="0" borderId="38" xfId="0" applyFont="1" applyBorder="1"/>
    <xf numFmtId="0" fontId="4" fillId="0" borderId="39" xfId="0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165" fontId="4" fillId="0" borderId="23" xfId="0" applyNumberFormat="1" applyFont="1" applyBorder="1"/>
    <xf numFmtId="165" fontId="4" fillId="0" borderId="7" xfId="0" applyNumberFormat="1" applyFont="1" applyBorder="1"/>
    <xf numFmtId="0" fontId="7" fillId="0" borderId="0" xfId="0" applyFont="1" applyAlignment="1">
      <alignment horizontal="right"/>
    </xf>
    <xf numFmtId="0" fontId="4" fillId="0" borderId="47" xfId="0" applyFont="1" applyBorder="1" applyAlignment="1">
      <alignment horizontal="center"/>
    </xf>
    <xf numFmtId="43" fontId="4" fillId="0" borderId="3" xfId="0" applyNumberFormat="1" applyFont="1" applyBorder="1"/>
    <xf numFmtId="43" fontId="4" fillId="0" borderId="48" xfId="0" applyNumberFormat="1" applyFont="1" applyBorder="1"/>
    <xf numFmtId="43" fontId="6" fillId="0" borderId="50" xfId="1" applyFont="1" applyBorder="1"/>
    <xf numFmtId="43" fontId="4" fillId="0" borderId="51" xfId="0" applyNumberFormat="1" applyFont="1" applyBorder="1"/>
    <xf numFmtId="43" fontId="4" fillId="0" borderId="20" xfId="0" applyNumberFormat="1" applyFont="1" applyBorder="1"/>
    <xf numFmtId="0" fontId="4" fillId="0" borderId="4" xfId="1" applyNumberFormat="1" applyFont="1" applyBorder="1" applyAlignment="1">
      <alignment horizontal="center"/>
    </xf>
    <xf numFmtId="166" fontId="4" fillId="0" borderId="52" xfId="0" applyNumberFormat="1" applyFont="1" applyBorder="1"/>
    <xf numFmtId="166" fontId="4" fillId="0" borderId="17" xfId="0" applyNumberFormat="1" applyFont="1" applyBorder="1"/>
    <xf numFmtId="166" fontId="4" fillId="0" borderId="22" xfId="0" applyNumberFormat="1" applyFont="1" applyBorder="1"/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center" vertical="center"/>
    </xf>
    <xf numFmtId="43" fontId="10" fillId="0" borderId="21" xfId="1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1" fontId="12" fillId="2" borderId="21" xfId="0" applyNumberFormat="1" applyFont="1" applyFill="1" applyBorder="1" applyAlignment="1">
      <alignment horizontal="center" vertical="center"/>
    </xf>
    <xf numFmtId="43" fontId="13" fillId="2" borderId="21" xfId="1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3" fontId="10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2" fillId="0" borderId="0" xfId="0" applyNumberFormat="1" applyFont="1" applyAlignment="1">
      <alignment horizontal="center" vertical="center"/>
    </xf>
    <xf numFmtId="43" fontId="10" fillId="2" borderId="21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8" borderId="21" xfId="0" applyFont="1" applyFill="1" applyBorder="1" applyAlignment="1">
      <alignment horizontal="center" vertical="center"/>
    </xf>
    <xf numFmtId="43" fontId="10" fillId="0" borderId="21" xfId="1" applyFont="1" applyFill="1" applyBorder="1" applyAlignment="1"/>
    <xf numFmtId="43" fontId="10" fillId="3" borderId="21" xfId="1" applyFont="1" applyFill="1" applyBorder="1" applyAlignment="1">
      <alignment horizontal="right"/>
    </xf>
    <xf numFmtId="43" fontId="10" fillId="2" borderId="21" xfId="1" applyFont="1" applyFill="1" applyBorder="1" applyAlignment="1">
      <alignment horizontal="right"/>
    </xf>
    <xf numFmtId="43" fontId="10" fillId="0" borderId="74" xfId="0" applyNumberFormat="1" applyFont="1" applyBorder="1" applyAlignment="1">
      <alignment horizontal="center" vertical="center"/>
    </xf>
    <xf numFmtId="43" fontId="10" fillId="2" borderId="21" xfId="1" applyFont="1" applyFill="1" applyBorder="1" applyAlignment="1">
      <alignment vertical="center"/>
    </xf>
    <xf numFmtId="43" fontId="10" fillId="3" borderId="21" xfId="1" applyFont="1" applyFill="1" applyBorder="1" applyAlignment="1"/>
    <xf numFmtId="0" fontId="15" fillId="0" borderId="0" xfId="0" applyFont="1"/>
    <xf numFmtId="43" fontId="10" fillId="2" borderId="0" xfId="1" applyFont="1" applyFill="1" applyAlignment="1">
      <alignment horizontal="center" vertical="center"/>
    </xf>
    <xf numFmtId="43" fontId="0" fillId="0" borderId="0" xfId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8" fillId="0" borderId="0" xfId="0" applyFont="1"/>
    <xf numFmtId="1" fontId="17" fillId="0" borderId="0" xfId="0" applyNumberFormat="1" applyFont="1" applyAlignment="1">
      <alignment horizontal="center"/>
    </xf>
    <xf numFmtId="43" fontId="17" fillId="0" borderId="0" xfId="1" applyFont="1" applyAlignment="1">
      <alignment horizontal="center"/>
    </xf>
    <xf numFmtId="43" fontId="18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20" fillId="0" borderId="21" xfId="0" applyNumberFormat="1" applyFont="1" applyBorder="1" applyAlignment="1">
      <alignment horizontal="center"/>
    </xf>
    <xf numFmtId="1" fontId="17" fillId="0" borderId="0" xfId="0" applyNumberFormat="1" applyFont="1" applyAlignment="1">
      <alignment horizontal="center" vertical="center"/>
    </xf>
    <xf numFmtId="43" fontId="20" fillId="0" borderId="21" xfId="1" applyFont="1" applyBorder="1" applyAlignment="1">
      <alignment horizontal="center"/>
    </xf>
    <xf numFmtId="1" fontId="17" fillId="0" borderId="21" xfId="0" applyNumberFormat="1" applyFont="1" applyBorder="1" applyAlignment="1">
      <alignment horizontal="center"/>
    </xf>
    <xf numFmtId="43" fontId="17" fillId="0" borderId="21" xfId="1" applyFont="1" applyBorder="1" applyAlignment="1">
      <alignment horizontal="center"/>
    </xf>
    <xf numFmtId="43" fontId="21" fillId="6" borderId="21" xfId="1" applyFont="1" applyFill="1" applyBorder="1" applyAlignment="1">
      <alignment horizontal="center" vertical="center"/>
    </xf>
    <xf numFmtId="1" fontId="22" fillId="0" borderId="21" xfId="0" applyNumberFormat="1" applyFont="1" applyBorder="1" applyAlignment="1">
      <alignment horizontal="center"/>
    </xf>
    <xf numFmtId="43" fontId="22" fillId="0" borderId="21" xfId="1" applyFont="1" applyBorder="1" applyAlignment="1">
      <alignment horizontal="center"/>
    </xf>
    <xf numFmtId="43" fontId="22" fillId="0" borderId="21" xfId="1" applyFont="1" applyFill="1" applyBorder="1" applyAlignment="1">
      <alignment horizontal="center" vertical="center"/>
    </xf>
    <xf numFmtId="43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43" fontId="22" fillId="0" borderId="0" xfId="1" applyFont="1" applyFill="1" applyBorder="1" applyAlignment="1">
      <alignment horizontal="center" vertical="center"/>
    </xf>
    <xf numFmtId="43" fontId="18" fillId="0" borderId="0" xfId="1" applyFont="1" applyFill="1" applyAlignment="1">
      <alignment horizontal="center" vertical="center"/>
    </xf>
    <xf numFmtId="43" fontId="17" fillId="0" borderId="0" xfId="1" applyFont="1" applyFill="1" applyAlignment="1">
      <alignment horizontal="center"/>
    </xf>
    <xf numFmtId="167" fontId="17" fillId="0" borderId="0" xfId="0" applyNumberFormat="1" applyFont="1" applyAlignment="1">
      <alignment horizontal="center"/>
    </xf>
    <xf numFmtId="167" fontId="18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1" fontId="23" fillId="0" borderId="0" xfId="0" applyNumberFormat="1" applyFont="1" applyAlignment="1">
      <alignment horizontal="center"/>
    </xf>
    <xf numFmtId="43" fontId="23" fillId="0" borderId="0" xfId="1" applyFont="1" applyAlignment="1">
      <alignment horizontal="center"/>
    </xf>
    <xf numFmtId="43" fontId="24" fillId="0" borderId="0" xfId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" fontId="19" fillId="0" borderId="21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 vertical="center"/>
    </xf>
    <xf numFmtId="43" fontId="19" fillId="0" borderId="21" xfId="1" applyFont="1" applyBorder="1" applyAlignment="1">
      <alignment horizontal="center"/>
    </xf>
    <xf numFmtId="1" fontId="23" fillId="0" borderId="21" xfId="0" applyNumberFormat="1" applyFont="1" applyBorder="1" applyAlignment="1">
      <alignment horizontal="center"/>
    </xf>
    <xf numFmtId="43" fontId="23" fillId="0" borderId="21" xfId="1" applyFont="1" applyBorder="1" applyAlignment="1">
      <alignment horizontal="center"/>
    </xf>
    <xf numFmtId="43" fontId="23" fillId="0" borderId="7" xfId="1" applyFont="1" applyFill="1" applyBorder="1" applyAlignment="1">
      <alignment horizontal="right"/>
    </xf>
    <xf numFmtId="43" fontId="25" fillId="6" borderId="21" xfId="1" applyFont="1" applyFill="1" applyBorder="1" applyAlignment="1">
      <alignment horizontal="center" vertical="center"/>
    </xf>
    <xf numFmtId="1" fontId="26" fillId="0" borderId="21" xfId="0" applyNumberFormat="1" applyFont="1" applyBorder="1" applyAlignment="1">
      <alignment horizontal="center"/>
    </xf>
    <xf numFmtId="43" fontId="26" fillId="0" borderId="21" xfId="1" applyFont="1" applyBorder="1" applyAlignment="1">
      <alignment horizontal="center"/>
    </xf>
    <xf numFmtId="43" fontId="26" fillId="0" borderId="21" xfId="1" applyFont="1" applyFill="1" applyBorder="1" applyAlignment="1">
      <alignment horizontal="center" vertical="center"/>
    </xf>
    <xf numFmtId="43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43" fontId="26" fillId="0" borderId="0" xfId="1" applyFont="1" applyFill="1" applyBorder="1" applyAlignment="1">
      <alignment horizontal="center" vertical="center"/>
    </xf>
    <xf numFmtId="43" fontId="19" fillId="0" borderId="7" xfId="2" applyFont="1" applyFill="1" applyBorder="1" applyAlignment="1">
      <alignment horizontal="right"/>
    </xf>
    <xf numFmtId="0" fontId="26" fillId="0" borderId="0" xfId="0" applyFont="1"/>
    <xf numFmtId="43" fontId="19" fillId="0" borderId="21" xfId="1" applyFont="1" applyFill="1" applyBorder="1" applyAlignment="1">
      <alignment horizontal="center"/>
    </xf>
    <xf numFmtId="43" fontId="26" fillId="0" borderId="0" xfId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43" fontId="23" fillId="0" borderId="7" xfId="2" applyFont="1" applyFill="1" applyBorder="1" applyAlignment="1">
      <alignment horizontal="right"/>
    </xf>
    <xf numFmtId="43" fontId="26" fillId="0" borderId="21" xfId="1" applyFont="1" applyFill="1" applyBorder="1" applyAlignment="1">
      <alignment horizontal="center"/>
    </xf>
    <xf numFmtId="0" fontId="19" fillId="5" borderId="21" xfId="0" applyFont="1" applyFill="1" applyBorder="1" applyAlignment="1">
      <alignment horizontal="center" vertical="center"/>
    </xf>
    <xf numFmtId="164" fontId="25" fillId="3" borderId="21" xfId="0" applyNumberFormat="1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center"/>
    </xf>
    <xf numFmtId="43" fontId="23" fillId="0" borderId="21" xfId="1" applyFont="1" applyFill="1" applyBorder="1" applyAlignment="1"/>
    <xf numFmtId="43" fontId="23" fillId="0" borderId="21" xfId="1" applyFont="1" applyFill="1" applyBorder="1" applyAlignment="1">
      <alignment horizontal="center"/>
    </xf>
    <xf numFmtId="43" fontId="24" fillId="0" borderId="0" xfId="1" applyFont="1" applyFill="1" applyAlignment="1">
      <alignment horizontal="center" vertical="center"/>
    </xf>
    <xf numFmtId="43" fontId="24" fillId="0" borderId="21" xfId="1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43" fontId="24" fillId="2" borderId="21" xfId="1" applyFont="1" applyFill="1" applyBorder="1" applyAlignment="1">
      <alignment horizontal="center" vertical="center"/>
    </xf>
    <xf numFmtId="0" fontId="24" fillId="2" borderId="21" xfId="0" applyFont="1" applyFill="1" applyBorder="1"/>
    <xf numFmtId="0" fontId="24" fillId="7" borderId="21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43" fontId="23" fillId="0" borderId="7" xfId="2" applyFont="1" applyFill="1" applyBorder="1" applyAlignment="1">
      <alignment horizontal="right" vertical="center"/>
    </xf>
    <xf numFmtId="1" fontId="26" fillId="0" borderId="76" xfId="0" applyNumberFormat="1" applyFont="1" applyBorder="1" applyAlignment="1">
      <alignment horizontal="center"/>
    </xf>
    <xf numFmtId="43" fontId="23" fillId="0" borderId="17" xfId="2" applyFont="1" applyFill="1" applyBorder="1" applyAlignment="1">
      <alignment horizontal="right"/>
    </xf>
    <xf numFmtId="43" fontId="26" fillId="0" borderId="77" xfId="1" applyFont="1" applyFill="1" applyBorder="1" applyAlignment="1">
      <alignment horizontal="center"/>
    </xf>
    <xf numFmtId="164" fontId="25" fillId="3" borderId="0" xfId="0" applyNumberFormat="1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43" fontId="23" fillId="0" borderId="10" xfId="2" applyFont="1" applyFill="1" applyBorder="1" applyAlignment="1">
      <alignment horizontal="right"/>
    </xf>
    <xf numFmtId="43" fontId="23" fillId="0" borderId="10" xfId="1" applyFont="1" applyFill="1" applyBorder="1" applyAlignment="1">
      <alignment horizontal="center"/>
    </xf>
    <xf numFmtId="0" fontId="27" fillId="0" borderId="0" xfId="0" applyFont="1" applyAlignment="1">
      <alignment horizontal="right"/>
    </xf>
    <xf numFmtId="43" fontId="24" fillId="0" borderId="0" xfId="1" applyFont="1" applyFill="1" applyBorder="1" applyAlignment="1">
      <alignment horizontal="right"/>
    </xf>
    <xf numFmtId="0" fontId="24" fillId="0" borderId="0" xfId="0" applyFont="1" applyAlignment="1">
      <alignment horizontal="center"/>
    </xf>
    <xf numFmtId="43" fontId="24" fillId="0" borderId="0" xfId="1" applyFont="1" applyFill="1" applyBorder="1" applyAlignment="1"/>
    <xf numFmtId="43" fontId="24" fillId="0" borderId="0" xfId="1" applyFont="1" applyFill="1" applyBorder="1"/>
    <xf numFmtId="43" fontId="23" fillId="0" borderId="0" xfId="1" applyFont="1" applyFill="1" applyAlignment="1">
      <alignment horizontal="center"/>
    </xf>
    <xf numFmtId="0" fontId="23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24" fillId="0" borderId="0" xfId="0" applyNumberFormat="1" applyFont="1"/>
    <xf numFmtId="165" fontId="23" fillId="0" borderId="7" xfId="2" applyNumberFormat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43" fontId="19" fillId="0" borderId="0" xfId="2" applyFont="1" applyFill="1" applyBorder="1" applyAlignment="1">
      <alignment horizontal="right"/>
    </xf>
    <xf numFmtId="43" fontId="19" fillId="0" borderId="0" xfId="1" applyFont="1" applyFill="1" applyBorder="1" applyAlignment="1"/>
    <xf numFmtId="43" fontId="19" fillId="0" borderId="0" xfId="1" applyFont="1" applyFill="1" applyBorder="1"/>
    <xf numFmtId="43" fontId="19" fillId="0" borderId="0" xfId="1" applyFont="1" applyFill="1" applyBorder="1" applyAlignment="1">
      <alignment horizontal="right"/>
    </xf>
    <xf numFmtId="1" fontId="19" fillId="0" borderId="0" xfId="0" applyNumberFormat="1" applyFont="1" applyAlignment="1">
      <alignment horizontal="center"/>
    </xf>
    <xf numFmtId="43" fontId="19" fillId="0" borderId="0" xfId="1" applyFont="1" applyFill="1" applyBorder="1" applyAlignment="1">
      <alignment horizontal="center"/>
    </xf>
    <xf numFmtId="167" fontId="19" fillId="0" borderId="21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3" borderId="0" xfId="0" applyFont="1" applyFill="1"/>
    <xf numFmtId="0" fontId="24" fillId="0" borderId="21" xfId="0" applyFont="1" applyBorder="1"/>
    <xf numFmtId="0" fontId="26" fillId="0" borderId="21" xfId="0" applyFont="1" applyBorder="1"/>
    <xf numFmtId="43" fontId="24" fillId="0" borderId="0" xfId="0" applyNumberFormat="1" applyFont="1"/>
    <xf numFmtId="43" fontId="23" fillId="0" borderId="0" xfId="0" applyNumberFormat="1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10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24" xfId="0" applyFont="1" applyBorder="1"/>
    <xf numFmtId="0" fontId="8" fillId="0" borderId="24" xfId="0" applyFont="1" applyBorder="1"/>
    <xf numFmtId="15" fontId="29" fillId="0" borderId="4" xfId="0" applyNumberFormat="1" applyFont="1" applyBorder="1"/>
    <xf numFmtId="0" fontId="9" fillId="0" borderId="78" xfId="0" applyFont="1" applyBorder="1" applyAlignment="1">
      <alignment horizontal="center"/>
    </xf>
    <xf numFmtId="43" fontId="4" fillId="0" borderId="79" xfId="0" applyNumberFormat="1" applyFont="1" applyBorder="1"/>
    <xf numFmtId="0" fontId="4" fillId="0" borderId="80" xfId="0" applyFont="1" applyBorder="1"/>
    <xf numFmtId="0" fontId="4" fillId="0" borderId="81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43" fontId="4" fillId="0" borderId="62" xfId="0" applyNumberFormat="1" applyFont="1" applyBorder="1"/>
    <xf numFmtId="0" fontId="4" fillId="0" borderId="82" xfId="0" applyFont="1" applyBorder="1"/>
    <xf numFmtId="0" fontId="6" fillId="0" borderId="71" xfId="0" applyFont="1" applyBorder="1"/>
    <xf numFmtId="0" fontId="6" fillId="0" borderId="0" xfId="0" applyFont="1" applyAlignment="1">
      <alignment horizontal="center"/>
    </xf>
    <xf numFmtId="0" fontId="30" fillId="9" borderId="4" xfId="9" applyFont="1" applyFill="1" applyBorder="1" applyAlignment="1">
      <alignment horizontal="left" vertical="center"/>
    </xf>
    <xf numFmtId="0" fontId="30" fillId="9" borderId="7" xfId="9" applyFont="1" applyFill="1" applyBorder="1" applyAlignment="1">
      <alignment vertical="center"/>
    </xf>
    <xf numFmtId="0" fontId="30" fillId="9" borderId="10" xfId="9" applyFont="1" applyFill="1" applyBorder="1" applyAlignment="1">
      <alignment vertical="center"/>
    </xf>
    <xf numFmtId="0" fontId="30" fillId="9" borderId="7" xfId="9" applyFont="1" applyFill="1" applyBorder="1" applyAlignment="1">
      <alignment horizontal="left" vertical="center"/>
    </xf>
    <xf numFmtId="0" fontId="31" fillId="0" borderId="4" xfId="0" applyFont="1" applyBorder="1"/>
    <xf numFmtId="0" fontId="6" fillId="0" borderId="0" xfId="0" applyFont="1" applyAlignment="1">
      <alignment horizontal="right"/>
    </xf>
    <xf numFmtId="0" fontId="6" fillId="0" borderId="24" xfId="0" applyFont="1" applyBorder="1" applyAlignment="1">
      <alignment horizontal="right"/>
    </xf>
    <xf numFmtId="0" fontId="30" fillId="9" borderId="0" xfId="9" applyFont="1" applyFill="1" applyAlignment="1">
      <alignment horizontal="left" vertical="center"/>
    </xf>
    <xf numFmtId="17" fontId="4" fillId="0" borderId="7" xfId="0" applyNumberFormat="1" applyFont="1" applyBorder="1"/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15" fontId="4" fillId="0" borderId="7" xfId="0" applyNumberFormat="1" applyFont="1" applyBorder="1"/>
    <xf numFmtId="0" fontId="4" fillId="0" borderId="81" xfId="0" applyFont="1" applyBorder="1"/>
    <xf numFmtId="0" fontId="4" fillId="0" borderId="83" xfId="0" applyFont="1" applyBorder="1"/>
    <xf numFmtId="0" fontId="4" fillId="0" borderId="62" xfId="0" applyFont="1" applyBorder="1"/>
    <xf numFmtId="0" fontId="30" fillId="9" borderId="24" xfId="9" applyFont="1" applyFill="1" applyBorder="1" applyAlignment="1">
      <alignment horizontal="left" vertical="center"/>
    </xf>
    <xf numFmtId="0" fontId="4" fillId="0" borderId="24" xfId="0" applyFont="1" applyBorder="1"/>
    <xf numFmtId="0" fontId="4" fillId="0" borderId="24" xfId="0" applyFont="1" applyBorder="1" applyAlignment="1">
      <alignment horizontal="right"/>
    </xf>
    <xf numFmtId="0" fontId="30" fillId="9" borderId="0" xfId="9" applyFont="1" applyFill="1" applyAlignment="1">
      <alignment vertical="center"/>
    </xf>
    <xf numFmtId="0" fontId="32" fillId="0" borderId="0" xfId="0" applyFont="1"/>
    <xf numFmtId="0" fontId="33" fillId="0" borderId="53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/>
    </xf>
    <xf numFmtId="0" fontId="33" fillId="0" borderId="5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0" fontId="33" fillId="0" borderId="56" xfId="0" applyFont="1" applyBorder="1" applyAlignment="1">
      <alignment horizontal="center"/>
    </xf>
    <xf numFmtId="0" fontId="32" fillId="3" borderId="25" xfId="0" applyFont="1" applyFill="1" applyBorder="1" applyAlignment="1">
      <alignment horizontal="center"/>
    </xf>
    <xf numFmtId="43" fontId="32" fillId="3" borderId="26" xfId="1" applyFont="1" applyFill="1" applyBorder="1" applyAlignment="1">
      <alignment horizontal="right"/>
    </xf>
    <xf numFmtId="0" fontId="32" fillId="3" borderId="51" xfId="0" applyFont="1" applyFill="1" applyBorder="1" applyAlignment="1">
      <alignment horizontal="center"/>
    </xf>
    <xf numFmtId="43" fontId="32" fillId="3" borderId="27" xfId="1" applyFont="1" applyFill="1" applyBorder="1" applyAlignment="1">
      <alignment horizontal="center"/>
    </xf>
    <xf numFmtId="43" fontId="32" fillId="3" borderId="51" xfId="1" applyFont="1" applyFill="1" applyBorder="1"/>
    <xf numFmtId="43" fontId="32" fillId="3" borderId="27" xfId="1" applyFont="1" applyFill="1" applyBorder="1" applyAlignment="1">
      <alignment horizontal="right"/>
    </xf>
    <xf numFmtId="43" fontId="32" fillId="3" borderId="27" xfId="1" applyFont="1" applyFill="1" applyBorder="1"/>
    <xf numFmtId="0" fontId="32" fillId="3" borderId="29" xfId="0" applyFont="1" applyFill="1" applyBorder="1"/>
    <xf numFmtId="0" fontId="32" fillId="3" borderId="47" xfId="0" applyFont="1" applyFill="1" applyBorder="1" applyAlignment="1">
      <alignment horizontal="center"/>
    </xf>
    <xf numFmtId="43" fontId="32" fillId="3" borderId="4" xfId="1" applyFont="1" applyFill="1" applyBorder="1" applyAlignment="1">
      <alignment horizontal="right"/>
    </xf>
    <xf numFmtId="0" fontId="32" fillId="3" borderId="49" xfId="0" applyFont="1" applyFill="1" applyBorder="1" applyAlignment="1">
      <alignment horizontal="center"/>
    </xf>
    <xf numFmtId="43" fontId="32" fillId="3" borderId="4" xfId="1" applyFont="1" applyFill="1" applyBorder="1" applyAlignment="1">
      <alignment horizontal="center"/>
    </xf>
    <xf numFmtId="43" fontId="32" fillId="3" borderId="49" xfId="1" applyFont="1" applyFill="1" applyBorder="1"/>
    <xf numFmtId="43" fontId="32" fillId="3" borderId="4" xfId="1" applyFont="1" applyFill="1" applyBorder="1"/>
    <xf numFmtId="0" fontId="32" fillId="3" borderId="48" xfId="0" applyFont="1" applyFill="1" applyBorder="1"/>
    <xf numFmtId="0" fontId="32" fillId="3" borderId="6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43" fontId="32" fillId="0" borderId="17" xfId="0" applyNumberFormat="1" applyFont="1" applyBorder="1"/>
    <xf numFmtId="43" fontId="32" fillId="0" borderId="7" xfId="1" applyFont="1" applyFill="1" applyBorder="1" applyAlignment="1">
      <alignment horizontal="right"/>
    </xf>
    <xf numFmtId="43" fontId="32" fillId="3" borderId="17" xfId="0" applyNumberFormat="1" applyFont="1" applyFill="1" applyBorder="1"/>
    <xf numFmtId="43" fontId="32" fillId="3" borderId="7" xfId="0" applyNumberFormat="1" applyFont="1" applyFill="1" applyBorder="1"/>
    <xf numFmtId="0" fontId="33" fillId="3" borderId="30" xfId="0" applyFont="1" applyFill="1" applyBorder="1" applyAlignment="1">
      <alignment horizontal="center"/>
    </xf>
    <xf numFmtId="0" fontId="32" fillId="0" borderId="17" xfId="0" applyFont="1" applyBorder="1" applyAlignment="1">
      <alignment horizontal="center"/>
    </xf>
    <xf numFmtId="43" fontId="32" fillId="0" borderId="7" xfId="1" applyFont="1" applyFill="1" applyBorder="1" applyAlignment="1">
      <alignment horizontal="center"/>
    </xf>
    <xf numFmtId="43" fontId="32" fillId="0" borderId="17" xfId="1" applyFont="1" applyFill="1" applyBorder="1"/>
    <xf numFmtId="43" fontId="32" fillId="3" borderId="17" xfId="1" applyFont="1" applyFill="1" applyBorder="1"/>
    <xf numFmtId="43" fontId="32" fillId="3" borderId="7" xfId="1" applyFont="1" applyFill="1" applyBorder="1"/>
    <xf numFmtId="0" fontId="32" fillId="3" borderId="31" xfId="0" applyFont="1" applyFill="1" applyBorder="1"/>
    <xf numFmtId="0" fontId="32" fillId="3" borderId="30" xfId="0" applyFont="1" applyFill="1" applyBorder="1" applyAlignment="1">
      <alignment horizontal="center"/>
    </xf>
    <xf numFmtId="43" fontId="33" fillId="0" borderId="7" xfId="2" applyFont="1" applyFill="1" applyBorder="1" applyAlignment="1">
      <alignment horizontal="right"/>
    </xf>
    <xf numFmtId="0" fontId="33" fillId="0" borderId="17" xfId="0" applyFont="1" applyBorder="1" applyAlignment="1">
      <alignment horizontal="center"/>
    </xf>
    <xf numFmtId="43" fontId="33" fillId="0" borderId="7" xfId="1" applyFont="1" applyFill="1" applyBorder="1" applyAlignment="1"/>
    <xf numFmtId="43" fontId="33" fillId="0" borderId="7" xfId="1" applyFont="1" applyFill="1" applyBorder="1" applyAlignment="1">
      <alignment horizontal="right"/>
    </xf>
    <xf numFmtId="0" fontId="33" fillId="3" borderId="31" xfId="0" applyFont="1" applyFill="1" applyBorder="1" applyAlignment="1">
      <alignment horizontal="center"/>
    </xf>
    <xf numFmtId="43" fontId="32" fillId="0" borderId="7" xfId="2" applyFont="1" applyFill="1" applyBorder="1" applyAlignment="1">
      <alignment horizontal="right"/>
    </xf>
    <xf numFmtId="43" fontId="32" fillId="0" borderId="7" xfId="1" applyFont="1" applyFill="1" applyBorder="1" applyAlignment="1"/>
    <xf numFmtId="0" fontId="32" fillId="3" borderId="31" xfId="0" applyFont="1" applyFill="1" applyBorder="1" applyAlignment="1">
      <alignment horizontal="center"/>
    </xf>
    <xf numFmtId="0" fontId="33" fillId="3" borderId="39" xfId="0" applyFont="1" applyFill="1" applyBorder="1" applyAlignment="1">
      <alignment horizontal="center"/>
    </xf>
    <xf numFmtId="165" fontId="32" fillId="0" borderId="7" xfId="2" applyNumberFormat="1" applyFont="1" applyFill="1" applyBorder="1" applyAlignment="1">
      <alignment horizontal="right"/>
    </xf>
    <xf numFmtId="0" fontId="32" fillId="3" borderId="17" xfId="0" applyFont="1" applyFill="1" applyBorder="1" applyAlignment="1">
      <alignment horizontal="center"/>
    </xf>
    <xf numFmtId="0" fontId="32" fillId="3" borderId="39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vertical="center"/>
    </xf>
    <xf numFmtId="0" fontId="33" fillId="3" borderId="8" xfId="0" applyFont="1" applyFill="1" applyBorder="1"/>
    <xf numFmtId="0" fontId="32" fillId="0" borderId="31" xfId="0" applyFont="1" applyBorder="1" applyAlignment="1">
      <alignment horizontal="center"/>
    </xf>
    <xf numFmtId="0" fontId="32" fillId="3" borderId="6" xfId="1" applyNumberFormat="1" applyFont="1" applyFill="1" applyBorder="1" applyAlignment="1">
      <alignment horizontal="left"/>
    </xf>
    <xf numFmtId="0" fontId="32" fillId="3" borderId="8" xfId="1" applyNumberFormat="1" applyFont="1" applyFill="1" applyBorder="1" applyAlignment="1">
      <alignment horizontal="left"/>
    </xf>
    <xf numFmtId="0" fontId="35" fillId="3" borderId="31" xfId="0" applyFont="1" applyFill="1" applyBorder="1" applyAlignment="1">
      <alignment horizontal="center"/>
    </xf>
    <xf numFmtId="0" fontId="33" fillId="3" borderId="39" xfId="0" applyFont="1" applyFill="1" applyBorder="1" applyAlignment="1">
      <alignment horizontal="center" vertical="center"/>
    </xf>
    <xf numFmtId="0" fontId="36" fillId="3" borderId="31" xfId="0" applyFont="1" applyFill="1" applyBorder="1" applyAlignment="1">
      <alignment horizontal="center"/>
    </xf>
    <xf numFmtId="0" fontId="32" fillId="3" borderId="8" xfId="1" applyNumberFormat="1" applyFont="1" applyFill="1" applyBorder="1" applyAlignment="1">
      <alignment horizontal="left" vertical="center"/>
    </xf>
    <xf numFmtId="43" fontId="32" fillId="0" borderId="7" xfId="2" applyFont="1" applyFill="1" applyBorder="1" applyAlignment="1">
      <alignment horizontal="right" vertical="center"/>
    </xf>
    <xf numFmtId="0" fontId="32" fillId="0" borderId="17" xfId="0" applyFont="1" applyBorder="1" applyAlignment="1">
      <alignment horizontal="center" vertical="center"/>
    </xf>
    <xf numFmtId="43" fontId="32" fillId="0" borderId="7" xfId="1" applyFont="1" applyFill="1" applyBorder="1" applyAlignment="1">
      <alignment horizontal="center" vertical="center"/>
    </xf>
    <xf numFmtId="0" fontId="35" fillId="3" borderId="31" xfId="0" applyFont="1" applyFill="1" applyBorder="1" applyAlignment="1">
      <alignment horizontal="center" vertical="center"/>
    </xf>
    <xf numFmtId="0" fontId="32" fillId="3" borderId="30" xfId="0" applyFont="1" applyFill="1" applyBorder="1" applyAlignment="1">
      <alignment horizontal="center" vertical="center"/>
    </xf>
    <xf numFmtId="0" fontId="32" fillId="3" borderId="6" xfId="1" applyNumberFormat="1" applyFont="1" applyFill="1" applyBorder="1" applyAlignment="1">
      <alignment horizontal="left" vertical="center"/>
    </xf>
    <xf numFmtId="43" fontId="32" fillId="0" borderId="17" xfId="0" applyNumberFormat="1" applyFont="1" applyBorder="1" applyAlignment="1">
      <alignment horizontal="center"/>
    </xf>
    <xf numFmtId="43" fontId="32" fillId="0" borderId="17" xfId="2" applyFont="1" applyFill="1" applyBorder="1" applyAlignment="1">
      <alignment horizontal="center"/>
    </xf>
    <xf numFmtId="0" fontId="32" fillId="0" borderId="7" xfId="0" applyFont="1" applyBorder="1"/>
    <xf numFmtId="43" fontId="32" fillId="0" borderId="17" xfId="2" applyFont="1" applyFill="1" applyBorder="1" applyAlignment="1">
      <alignment horizontal="right"/>
    </xf>
    <xf numFmtId="43" fontId="32" fillId="0" borderId="10" xfId="2" applyFont="1" applyFill="1" applyBorder="1" applyAlignment="1">
      <alignment horizontal="right"/>
    </xf>
    <xf numFmtId="43" fontId="32" fillId="0" borderId="10" xfId="1" applyFont="1" applyFill="1" applyBorder="1" applyAlignment="1">
      <alignment horizontal="center"/>
    </xf>
    <xf numFmtId="0" fontId="32" fillId="3" borderId="33" xfId="0" applyFont="1" applyFill="1" applyBorder="1" applyAlignment="1">
      <alignment horizontal="center"/>
    </xf>
    <xf numFmtId="0" fontId="32" fillId="3" borderId="32" xfId="0" applyFont="1" applyFill="1" applyBorder="1" applyAlignment="1">
      <alignment horizontal="center" vertical="center"/>
    </xf>
    <xf numFmtId="43" fontId="32" fillId="0" borderId="12" xfId="0" applyNumberFormat="1" applyFont="1" applyBorder="1" applyAlignment="1">
      <alignment horizontal="center"/>
    </xf>
    <xf numFmtId="43" fontId="32" fillId="0" borderId="10" xfId="1" applyFont="1" applyFill="1" applyBorder="1" applyAlignment="1">
      <alignment horizontal="right"/>
    </xf>
    <xf numFmtId="0" fontId="33" fillId="0" borderId="72" xfId="0" applyFont="1" applyBorder="1" applyAlignment="1">
      <alignment horizontal="center"/>
    </xf>
    <xf numFmtId="43" fontId="33" fillId="0" borderId="74" xfId="2" applyFont="1" applyFill="1" applyBorder="1" applyAlignment="1">
      <alignment horizontal="right"/>
    </xf>
    <xf numFmtId="43" fontId="33" fillId="0" borderId="74" xfId="1" applyFont="1" applyFill="1" applyBorder="1" applyAlignment="1"/>
    <xf numFmtId="43" fontId="33" fillId="0" borderId="50" xfId="1" applyFont="1" applyFill="1" applyBorder="1"/>
    <xf numFmtId="43" fontId="33" fillId="0" borderId="74" xfId="1" applyFont="1" applyFill="1" applyBorder="1" applyAlignment="1">
      <alignment horizontal="right"/>
    </xf>
    <xf numFmtId="43" fontId="33" fillId="0" borderId="74" xfId="1" applyFont="1" applyFill="1" applyBorder="1"/>
    <xf numFmtId="0" fontId="33" fillId="0" borderId="75" xfId="0" applyFont="1" applyBorder="1" applyAlignment="1">
      <alignment horizontal="center"/>
    </xf>
    <xf numFmtId="0" fontId="33" fillId="0" borderId="0" xfId="0" applyFont="1" applyAlignment="1">
      <alignment horizontal="right"/>
    </xf>
    <xf numFmtId="0" fontId="33" fillId="0" borderId="7" xfId="0" applyFont="1" applyBorder="1"/>
    <xf numFmtId="0" fontId="32" fillId="0" borderId="7" xfId="0" applyFont="1" applyBorder="1" applyAlignment="1">
      <alignment horizontal="right"/>
    </xf>
    <xf numFmtId="17" fontId="32" fillId="0" borderId="7" xfId="0" applyNumberFormat="1" applyFont="1" applyBorder="1"/>
    <xf numFmtId="0" fontId="33" fillId="0" borderId="4" xfId="0" applyFont="1" applyBorder="1"/>
    <xf numFmtId="0" fontId="32" fillId="0" borderId="4" xfId="0" applyFont="1" applyBorder="1"/>
    <xf numFmtId="0" fontId="32" fillId="3" borderId="47" xfId="0" applyFont="1" applyFill="1" applyBorder="1" applyAlignment="1">
      <alignment horizontal="right"/>
    </xf>
    <xf numFmtId="0" fontId="32" fillId="3" borderId="30" xfId="0" applyFont="1" applyFill="1" applyBorder="1" applyAlignment="1">
      <alignment horizontal="right"/>
    </xf>
    <xf numFmtId="0" fontId="32" fillId="3" borderId="39" xfId="0" applyFont="1" applyFill="1" applyBorder="1" applyAlignment="1">
      <alignment horizontal="right" vertical="center"/>
    </xf>
    <xf numFmtId="0" fontId="32" fillId="3" borderId="30" xfId="0" applyFont="1" applyFill="1" applyBorder="1" applyAlignment="1">
      <alignment horizontal="right" vertical="center"/>
    </xf>
    <xf numFmtId="0" fontId="33" fillId="3" borderId="30" xfId="0" applyFont="1" applyFill="1" applyBorder="1" applyAlignment="1">
      <alignment horizontal="right" vertical="center"/>
    </xf>
    <xf numFmtId="0" fontId="32" fillId="3" borderId="32" xfId="0" applyFont="1" applyFill="1" applyBorder="1" applyAlignment="1">
      <alignment horizontal="right" vertical="center"/>
    </xf>
    <xf numFmtId="0" fontId="33" fillId="3" borderId="32" xfId="0" applyFont="1" applyFill="1" applyBorder="1" applyAlignment="1">
      <alignment horizontal="right" vertical="center"/>
    </xf>
    <xf numFmtId="2" fontId="32" fillId="3" borderId="32" xfId="0" applyNumberFormat="1" applyFont="1" applyFill="1" applyBorder="1" applyAlignment="1">
      <alignment horizontal="right" vertical="center"/>
    </xf>
    <xf numFmtId="43" fontId="32" fillId="0" borderId="7" xfId="0" applyNumberFormat="1" applyFont="1" applyBorder="1"/>
    <xf numFmtId="0" fontId="38" fillId="0" borderId="0" xfId="0" applyFont="1" applyAlignment="1">
      <alignment horizontal="right"/>
    </xf>
    <xf numFmtId="43" fontId="36" fillId="0" borderId="0" xfId="1" applyFont="1" applyFill="1" applyBorder="1" applyAlignment="1">
      <alignment horizontal="right"/>
    </xf>
    <xf numFmtId="0" fontId="36" fillId="0" borderId="0" xfId="0" applyFont="1" applyAlignment="1">
      <alignment horizontal="center"/>
    </xf>
    <xf numFmtId="43" fontId="36" fillId="0" borderId="0" xfId="1" applyFont="1" applyFill="1" applyBorder="1" applyAlignment="1"/>
    <xf numFmtId="43" fontId="36" fillId="0" borderId="0" xfId="1" applyFont="1" applyFill="1" applyBorder="1"/>
    <xf numFmtId="0" fontId="36" fillId="0" borderId="0" xfId="0" applyFont="1"/>
    <xf numFmtId="0" fontId="32" fillId="0" borderId="0" xfId="0" applyFont="1" applyAlignment="1">
      <alignment horizontal="center"/>
    </xf>
    <xf numFmtId="167" fontId="36" fillId="0" borderId="0" xfId="0" applyNumberFormat="1" applyFont="1"/>
    <xf numFmtId="0" fontId="33" fillId="0" borderId="0" xfId="0" applyFont="1"/>
    <xf numFmtId="2" fontId="32" fillId="3" borderId="30" xfId="0" applyNumberFormat="1" applyFont="1" applyFill="1" applyBorder="1" applyAlignment="1">
      <alignment horizontal="right" vertical="center"/>
    </xf>
    <xf numFmtId="0" fontId="32" fillId="0" borderId="7" xfId="0" applyFont="1" applyBorder="1" applyAlignment="1">
      <alignment horizontal="left"/>
    </xf>
    <xf numFmtId="0" fontId="37" fillId="0" borderId="24" xfId="0" applyFont="1" applyBorder="1"/>
    <xf numFmtId="0" fontId="0" fillId="0" borderId="22" xfId="0" applyBorder="1" applyAlignment="1">
      <alignment horizontal="center"/>
    </xf>
    <xf numFmtId="0" fontId="32" fillId="3" borderId="17" xfId="0" applyFont="1" applyFill="1" applyBorder="1"/>
    <xf numFmtId="0" fontId="33" fillId="0" borderId="45" xfId="0" applyFont="1" applyBorder="1"/>
    <xf numFmtId="0" fontId="32" fillId="0" borderId="45" xfId="0" applyFont="1" applyBorder="1"/>
    <xf numFmtId="0" fontId="32" fillId="0" borderId="45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32" fillId="0" borderId="56" xfId="0" applyFont="1" applyBorder="1"/>
    <xf numFmtId="43" fontId="33" fillId="0" borderId="56" xfId="0" applyNumberFormat="1" applyFont="1" applyBorder="1"/>
    <xf numFmtId="0" fontId="32" fillId="0" borderId="51" xfId="0" applyFont="1" applyBorder="1" applyAlignment="1">
      <alignment horizontal="center"/>
    </xf>
    <xf numFmtId="0" fontId="33" fillId="0" borderId="51" xfId="0" applyFont="1" applyBorder="1"/>
    <xf numFmtId="0" fontId="32" fillId="0" borderId="51" xfId="0" applyFont="1" applyBorder="1"/>
    <xf numFmtId="0" fontId="32" fillId="0" borderId="26" xfId="0" applyFont="1" applyBorder="1"/>
    <xf numFmtId="0" fontId="32" fillId="3" borderId="17" xfId="0" applyFont="1" applyFill="1" applyBorder="1" applyAlignment="1">
      <alignment horizontal="left"/>
    </xf>
    <xf numFmtId="0" fontId="32" fillId="0" borderId="6" xfId="0" applyFont="1" applyBorder="1" applyAlignment="1">
      <alignment horizontal="center"/>
    </xf>
    <xf numFmtId="43" fontId="32" fillId="0" borderId="17" xfId="1" applyFont="1" applyBorder="1"/>
    <xf numFmtId="0" fontId="32" fillId="0" borderId="17" xfId="0" applyFont="1" applyBorder="1"/>
    <xf numFmtId="0" fontId="32" fillId="0" borderId="6" xfId="0" applyFont="1" applyBorder="1"/>
    <xf numFmtId="0" fontId="32" fillId="0" borderId="62" xfId="0" applyFont="1" applyBorder="1"/>
    <xf numFmtId="0" fontId="32" fillId="0" borderId="44" xfId="0" applyFont="1" applyBorder="1"/>
    <xf numFmtId="0" fontId="32" fillId="0" borderId="85" xfId="0" applyFont="1" applyBorder="1"/>
    <xf numFmtId="43" fontId="17" fillId="0" borderId="0" xfId="1" applyFont="1" applyBorder="1" applyAlignment="1">
      <alignment horizontal="center"/>
    </xf>
    <xf numFmtId="43" fontId="32" fillId="0" borderId="45" xfId="1" applyFont="1" applyFill="1" applyBorder="1" applyAlignment="1">
      <alignment horizontal="right"/>
    </xf>
    <xf numFmtId="43" fontId="32" fillId="0" borderId="45" xfId="1" applyFont="1" applyFill="1" applyBorder="1" applyAlignment="1">
      <alignment horizontal="center"/>
    </xf>
    <xf numFmtId="0" fontId="32" fillId="0" borderId="62" xfId="0" applyFont="1" applyBorder="1" applyAlignment="1">
      <alignment horizontal="center"/>
    </xf>
    <xf numFmtId="43" fontId="32" fillId="0" borderId="62" xfId="0" applyNumberFormat="1" applyFont="1" applyBorder="1"/>
    <xf numFmtId="43" fontId="32" fillId="3" borderId="62" xfId="0" applyNumberFormat="1" applyFont="1" applyFill="1" applyBorder="1"/>
    <xf numFmtId="43" fontId="32" fillId="3" borderId="83" xfId="1" applyFont="1" applyFill="1" applyBorder="1"/>
    <xf numFmtId="0" fontId="33" fillId="3" borderId="26" xfId="0" applyFont="1" applyFill="1" applyBorder="1" applyAlignment="1">
      <alignment horizontal="center"/>
    </xf>
    <xf numFmtId="0" fontId="32" fillId="3" borderId="6" xfId="0" applyFont="1" applyFill="1" applyBorder="1" applyAlignment="1">
      <alignment horizontal="center"/>
    </xf>
    <xf numFmtId="0" fontId="32" fillId="3" borderId="44" xfId="0" applyFont="1" applyFill="1" applyBorder="1" applyAlignment="1">
      <alignment horizontal="center"/>
    </xf>
    <xf numFmtId="0" fontId="32" fillId="3" borderId="86" xfId="0" applyFont="1" applyFill="1" applyBorder="1" applyAlignment="1">
      <alignment horizontal="center"/>
    </xf>
    <xf numFmtId="43" fontId="33" fillId="3" borderId="86" xfId="1" applyFont="1" applyFill="1" applyBorder="1"/>
    <xf numFmtId="0" fontId="32" fillId="3" borderId="51" xfId="0" applyFont="1" applyFill="1" applyBorder="1"/>
    <xf numFmtId="0" fontId="32" fillId="3" borderId="20" xfId="0" applyFont="1" applyFill="1" applyBorder="1"/>
    <xf numFmtId="0" fontId="32" fillId="0" borderId="0" xfId="0" applyFont="1" applyAlignment="1">
      <alignment horizontal="right"/>
    </xf>
    <xf numFmtId="0" fontId="32" fillId="0" borderId="89" xfId="0" applyFont="1" applyBorder="1"/>
    <xf numFmtId="0" fontId="32" fillId="0" borderId="90" xfId="0" applyFont="1" applyBorder="1" applyAlignment="1">
      <alignment horizontal="center" vertical="center"/>
    </xf>
    <xf numFmtId="0" fontId="32" fillId="0" borderId="91" xfId="0" applyFont="1" applyBorder="1" applyAlignment="1">
      <alignment horizontal="center" vertical="center"/>
    </xf>
    <xf numFmtId="0" fontId="32" fillId="0" borderId="92" xfId="0" applyFont="1" applyBorder="1" applyAlignment="1">
      <alignment horizontal="center" vertical="center"/>
    </xf>
    <xf numFmtId="0" fontId="32" fillId="0" borderId="93" xfId="0" applyFont="1" applyBorder="1"/>
    <xf numFmtId="0" fontId="33" fillId="0" borderId="94" xfId="0" applyFont="1" applyBorder="1"/>
    <xf numFmtId="0" fontId="32" fillId="0" borderId="95" xfId="0" applyFont="1" applyBorder="1"/>
    <xf numFmtId="0" fontId="32" fillId="0" borderId="96" xfId="0" applyFont="1" applyBorder="1"/>
    <xf numFmtId="0" fontId="32" fillId="0" borderId="97" xfId="0" applyFont="1" applyBorder="1"/>
    <xf numFmtId="0" fontId="32" fillId="0" borderId="98" xfId="0" applyFont="1" applyBorder="1"/>
    <xf numFmtId="0" fontId="32" fillId="0" borderId="99" xfId="0" applyFont="1" applyBorder="1"/>
    <xf numFmtId="0" fontId="32" fillId="0" borderId="100" xfId="0" applyFont="1" applyBorder="1"/>
    <xf numFmtId="0" fontId="32" fillId="0" borderId="101" xfId="0" applyFont="1" applyBorder="1"/>
    <xf numFmtId="0" fontId="32" fillId="0" borderId="94" xfId="0" applyFont="1" applyBorder="1"/>
    <xf numFmtId="0" fontId="32" fillId="0" borderId="103" xfId="0" applyFont="1" applyBorder="1"/>
    <xf numFmtId="0" fontId="32" fillId="0" borderId="105" xfId="0" applyFont="1" applyBorder="1"/>
    <xf numFmtId="0" fontId="32" fillId="0" borderId="107" xfId="0" applyFont="1" applyBorder="1"/>
    <xf numFmtId="43" fontId="32" fillId="0" borderId="102" xfId="1" applyFont="1" applyBorder="1"/>
    <xf numFmtId="168" fontId="32" fillId="0" borderId="104" xfId="0" applyNumberFormat="1" applyFont="1" applyBorder="1"/>
    <xf numFmtId="43" fontId="33" fillId="0" borderId="106" xfId="0" applyNumberFormat="1" applyFont="1" applyBorder="1"/>
    <xf numFmtId="0" fontId="40" fillId="0" borderId="24" xfId="0" applyFont="1" applyBorder="1" applyAlignment="1">
      <alignment horizontal="center"/>
    </xf>
    <xf numFmtId="0" fontId="40" fillId="0" borderId="55" xfId="0" applyFont="1" applyBorder="1" applyAlignment="1">
      <alignment horizontal="center"/>
    </xf>
    <xf numFmtId="0" fontId="32" fillId="3" borderId="6" xfId="1" applyNumberFormat="1" applyFont="1" applyFill="1" applyBorder="1" applyAlignment="1"/>
    <xf numFmtId="0" fontId="32" fillId="3" borderId="8" xfId="1" applyNumberFormat="1" applyFont="1" applyFill="1" applyBorder="1" applyAlignment="1"/>
    <xf numFmtId="0" fontId="32" fillId="0" borderId="7" xfId="0" applyFont="1" applyBorder="1"/>
    <xf numFmtId="0" fontId="32" fillId="3" borderId="6" xfId="1" applyNumberFormat="1" applyFont="1" applyFill="1" applyBorder="1" applyAlignment="1">
      <alignment horizontal="left"/>
    </xf>
    <xf numFmtId="0" fontId="32" fillId="3" borderId="8" xfId="1" applyNumberFormat="1" applyFont="1" applyFill="1" applyBorder="1" applyAlignment="1">
      <alignment horizontal="left"/>
    </xf>
    <xf numFmtId="0" fontId="32" fillId="3" borderId="6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6" xfId="0" applyFont="1" applyFill="1" applyBorder="1" applyAlignment="1">
      <alignment horizontal="left" vertical="center"/>
    </xf>
    <xf numFmtId="0" fontId="34" fillId="3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32" fillId="3" borderId="6" xfId="1" applyNumberFormat="1" applyFont="1" applyFill="1" applyBorder="1" applyAlignment="1">
      <alignment horizontal="left" vertical="top"/>
    </xf>
    <xf numFmtId="0" fontId="32" fillId="3" borderId="8" xfId="1" applyNumberFormat="1" applyFont="1" applyFill="1" applyBorder="1" applyAlignment="1">
      <alignment horizontal="left" vertical="top"/>
    </xf>
    <xf numFmtId="0" fontId="23" fillId="0" borderId="0" xfId="0" applyFont="1" applyAlignment="1">
      <alignment horizontal="center"/>
    </xf>
    <xf numFmtId="0" fontId="33" fillId="0" borderId="55" xfId="0" applyFont="1" applyBorder="1" applyAlignment="1">
      <alignment horizontal="center"/>
    </xf>
    <xf numFmtId="0" fontId="33" fillId="0" borderId="73" xfId="0" applyFont="1" applyBorder="1" applyAlignment="1">
      <alignment horizontal="center"/>
    </xf>
    <xf numFmtId="0" fontId="32" fillId="3" borderId="8" xfId="0" applyFont="1" applyFill="1" applyBorder="1" applyAlignment="1">
      <alignment horizontal="left" vertical="center"/>
    </xf>
    <xf numFmtId="164" fontId="24" fillId="0" borderId="21" xfId="0" applyNumberFormat="1" applyFont="1" applyBorder="1" applyAlignment="1">
      <alignment horizontal="center" vertical="center"/>
    </xf>
    <xf numFmtId="43" fontId="24" fillId="0" borderId="21" xfId="1" applyFont="1" applyFill="1" applyBorder="1" applyAlignment="1">
      <alignment horizontal="center" vertical="center"/>
    </xf>
    <xf numFmtId="1" fontId="26" fillId="0" borderId="76" xfId="0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0" fontId="32" fillId="3" borderId="6" xfId="1" applyNumberFormat="1" applyFont="1" applyFill="1" applyBorder="1" applyAlignment="1">
      <alignment horizontal="left" vertical="center"/>
    </xf>
    <xf numFmtId="0" fontId="32" fillId="3" borderId="8" xfId="1" applyNumberFormat="1" applyFont="1" applyFill="1" applyBorder="1" applyAlignment="1">
      <alignment horizontal="left" vertical="center"/>
    </xf>
    <xf numFmtId="1" fontId="19" fillId="0" borderId="21" xfId="0" applyNumberFormat="1" applyFont="1" applyBorder="1" applyAlignment="1">
      <alignment horizontal="center"/>
    </xf>
    <xf numFmtId="0" fontId="33" fillId="3" borderId="26" xfId="0" applyFont="1" applyFill="1" applyBorder="1" applyAlignment="1">
      <alignment horizontal="left"/>
    </xf>
    <xf numFmtId="0" fontId="33" fillId="3" borderId="28" xfId="0" applyFont="1" applyFill="1" applyBorder="1" applyAlignment="1">
      <alignment horizontal="left"/>
    </xf>
    <xf numFmtId="0" fontId="33" fillId="3" borderId="6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7" fillId="0" borderId="24" xfId="0" applyFont="1" applyBorder="1" applyAlignment="1">
      <alignment horizontal="center"/>
    </xf>
    <xf numFmtId="0" fontId="33" fillId="0" borderId="57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/>
    </xf>
    <xf numFmtId="0" fontId="33" fillId="0" borderId="64" xfId="0" applyFont="1" applyBorder="1" applyAlignment="1">
      <alignment horizontal="center"/>
    </xf>
    <xf numFmtId="0" fontId="33" fillId="0" borderId="65" xfId="0" applyFont="1" applyBorder="1" applyAlignment="1">
      <alignment horizontal="center"/>
    </xf>
    <xf numFmtId="0" fontId="32" fillId="0" borderId="6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25" fillId="4" borderId="21" xfId="0" applyFont="1" applyFill="1" applyBorder="1" applyAlignment="1">
      <alignment horizontal="center" vertical="center"/>
    </xf>
    <xf numFmtId="43" fontId="26" fillId="0" borderId="76" xfId="1" applyFont="1" applyFill="1" applyBorder="1" applyAlignment="1">
      <alignment horizontal="center" vertical="center"/>
    </xf>
    <xf numFmtId="43" fontId="26" fillId="0" borderId="1" xfId="1" applyFont="1" applyFill="1" applyBorder="1" applyAlignment="1">
      <alignment horizontal="center" vertical="center"/>
    </xf>
    <xf numFmtId="43" fontId="26" fillId="0" borderId="77" xfId="1" applyFont="1" applyFill="1" applyBorder="1" applyAlignment="1">
      <alignment horizontal="center" vertical="center"/>
    </xf>
    <xf numFmtId="0" fontId="23" fillId="8" borderId="21" xfId="0" applyFont="1" applyFill="1" applyBorder="1" applyAlignment="1">
      <alignment horizontal="center" vertical="center"/>
    </xf>
    <xf numFmtId="43" fontId="23" fillId="0" borderId="0" xfId="1" applyFont="1" applyFill="1" applyBorder="1" applyAlignment="1">
      <alignment horizontal="center"/>
    </xf>
    <xf numFmtId="0" fontId="32" fillId="3" borderId="6" xfId="1" applyNumberFormat="1" applyFont="1" applyFill="1" applyBorder="1" applyAlignment="1">
      <alignment horizontal="left" vertical="center" wrapText="1"/>
    </xf>
    <xf numFmtId="1" fontId="26" fillId="0" borderId="76" xfId="0" applyNumberFormat="1" applyFont="1" applyBorder="1" applyAlignment="1">
      <alignment horizontal="center"/>
    </xf>
    <xf numFmtId="1" fontId="26" fillId="0" borderId="77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43" fontId="4" fillId="0" borderId="26" xfId="0" applyNumberFormat="1" applyFont="1" applyBorder="1" applyAlignment="1">
      <alignment horizontal="center"/>
    </xf>
    <xf numFmtId="43" fontId="4" fillId="0" borderId="28" xfId="0" applyNumberFormat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4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8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43" fontId="4" fillId="0" borderId="18" xfId="0" applyNumberFormat="1" applyFont="1" applyBorder="1" applyAlignment="1">
      <alignment horizontal="center"/>
    </xf>
    <xf numFmtId="43" fontId="4" fillId="0" borderId="19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4" fillId="0" borderId="4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7" xfId="0" applyFont="1" applyBorder="1" applyAlignment="1">
      <alignment horizontal="left"/>
    </xf>
    <xf numFmtId="0" fontId="6" fillId="0" borderId="45" xfId="0" applyFont="1" applyBorder="1" applyAlignment="1">
      <alignment horizontal="center"/>
    </xf>
    <xf numFmtId="43" fontId="4" fillId="0" borderId="27" xfId="0" applyNumberFormat="1" applyFont="1" applyBorder="1" applyAlignment="1">
      <alignment horizontal="center"/>
    </xf>
    <xf numFmtId="43" fontId="4" fillId="0" borderId="7" xfId="0" applyNumberFormat="1" applyFont="1" applyBorder="1" applyAlignment="1">
      <alignment horizontal="center"/>
    </xf>
    <xf numFmtId="43" fontId="4" fillId="0" borderId="4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43" fontId="4" fillId="0" borderId="3" xfId="0" applyNumberFormat="1" applyFont="1" applyBorder="1" applyAlignment="1">
      <alignment horizontal="center"/>
    </xf>
    <xf numFmtId="43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32" fillId="0" borderId="91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0" fillId="0" borderId="63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3" fillId="0" borderId="60" xfId="0" applyFont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33" fillId="0" borderId="64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2" fillId="0" borderId="7" xfId="0" applyFont="1" applyBorder="1" applyAlignment="1">
      <alignment horizontal="left"/>
    </xf>
    <xf numFmtId="1" fontId="20" fillId="0" borderId="21" xfId="0" applyNumberFormat="1" applyFont="1" applyBorder="1" applyAlignment="1">
      <alignment horizontal="center"/>
    </xf>
    <xf numFmtId="0" fontId="34" fillId="3" borderId="26" xfId="0" applyFont="1" applyFill="1" applyBorder="1" applyAlignment="1">
      <alignment horizontal="left"/>
    </xf>
    <xf numFmtId="0" fontId="34" fillId="3" borderId="28" xfId="0" applyFont="1" applyFill="1" applyBorder="1" applyAlignment="1">
      <alignment horizontal="left"/>
    </xf>
    <xf numFmtId="0" fontId="32" fillId="0" borderId="0" xfId="0" applyFont="1" applyAlignment="1">
      <alignment horizontal="center"/>
    </xf>
    <xf numFmtId="0" fontId="32" fillId="3" borderId="44" xfId="0" applyFont="1" applyFill="1" applyBorder="1" applyAlignment="1">
      <alignment horizontal="left"/>
    </xf>
    <xf numFmtId="0" fontId="32" fillId="3" borderId="83" xfId="0" applyFont="1" applyFill="1" applyBorder="1" applyAlignment="1">
      <alignment horizontal="left"/>
    </xf>
    <xf numFmtId="0" fontId="39" fillId="0" borderId="0" xfId="0" applyFont="1" applyAlignment="1">
      <alignment horizontal="center"/>
    </xf>
    <xf numFmtId="0" fontId="33" fillId="3" borderId="86" xfId="0" applyFont="1" applyFill="1" applyBorder="1" applyAlignment="1">
      <alignment horizontal="center"/>
    </xf>
    <xf numFmtId="0" fontId="33" fillId="3" borderId="87" xfId="0" applyFont="1" applyFill="1" applyBorder="1" applyAlignment="1">
      <alignment horizontal="center"/>
    </xf>
    <xf numFmtId="0" fontId="33" fillId="3" borderId="88" xfId="0" applyFont="1" applyFill="1" applyBorder="1" applyAlignment="1">
      <alignment horizontal="center"/>
    </xf>
    <xf numFmtId="0" fontId="32" fillId="0" borderId="0" xfId="0" applyFont="1" applyAlignment="1">
      <alignment horizontal="left"/>
    </xf>
    <xf numFmtId="0" fontId="12" fillId="0" borderId="24" xfId="0" applyFont="1" applyBorder="1" applyAlignment="1">
      <alignment horizontal="center" vertical="center"/>
    </xf>
    <xf numFmtId="0" fontId="12" fillId="8" borderId="76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77" xfId="0" applyFont="1" applyFill="1" applyBorder="1" applyAlignment="1">
      <alignment horizontal="center" vertical="center"/>
    </xf>
  </cellXfs>
  <cellStyles count="10">
    <cellStyle name="Comma 2 4" xfId="4" xr:uid="{00000000-0005-0000-0000-000000000000}"/>
    <cellStyle name="Normal 11" xfId="5" xr:uid="{00000000-0005-0000-0000-000001000000}"/>
    <cellStyle name="เครื่องหมายจุลภาค 2" xfId="2" xr:uid="{00000000-0005-0000-0000-000003000000}"/>
    <cellStyle name="เครื่องหมายจุลภาค 3" xfId="7" xr:uid="{00000000-0005-0000-0000-000004000000}"/>
    <cellStyle name="จุลภาค" xfId="1" builtinId="3"/>
    <cellStyle name="ปกติ" xfId="0" builtinId="0"/>
    <cellStyle name="ปกติ 2" xfId="3" xr:uid="{00000000-0005-0000-0000-000006000000}"/>
    <cellStyle name="ปกติ 3" xfId="6" xr:uid="{00000000-0005-0000-0000-000007000000}"/>
    <cellStyle name="ปกติ_ถนน คสม.  หมู่ 8" xfId="9" xr:uid="{A4099306-9B7C-4B30-8AED-89D5AB19DA4C}"/>
    <cellStyle name="เปอร์เซ็นต์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1485900</xdr:colOff>
      <xdr:row>46</xdr:row>
      <xdr:rowOff>0</xdr:rowOff>
    </xdr:from>
    <xdr:to>
      <xdr:col>3</xdr:col>
      <xdr:colOff>1504034</xdr:colOff>
      <xdr:row>46</xdr:row>
      <xdr:rowOff>30647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F2F8ED8-D05B-4F50-BC61-AD176F6EE2F2}"/>
            </a:ext>
          </a:extLst>
        </xdr:cNvPr>
        <xdr:cNvCxnSpPr>
          <a:cxnSpLocks/>
        </xdr:cNvCxnSpPr>
      </xdr:nvCxnSpPr>
      <xdr:spPr>
        <a:xfrm>
          <a:off x="2571750" y="10739438"/>
          <a:ext cx="18134" cy="639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581025</xdr:colOff>
      <xdr:row>121</xdr:row>
      <xdr:rowOff>172692</xdr:rowOff>
    </xdr:from>
    <xdr:ext cx="3324225" cy="79057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85B9D26-D0D9-44FB-974E-8C87516BEE74}"/>
            </a:ext>
          </a:extLst>
        </xdr:cNvPr>
        <xdr:cNvSpPr txBox="1"/>
      </xdr:nvSpPr>
      <xdr:spPr>
        <a:xfrm>
          <a:off x="8001000" y="30557442"/>
          <a:ext cx="332422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ประธานกรรมการ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(นายสมชาย  มัคคะที)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ผู้อำนวยการส่วนป้องกันและปฏิบัติการ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0</xdr:colOff>
      <xdr:row>121</xdr:row>
      <xdr:rowOff>171450</xdr:rowOff>
    </xdr:from>
    <xdr:ext cx="2203175" cy="79057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3DCBBFB-387F-4A0C-8948-0C88D6FA96CC}"/>
            </a:ext>
          </a:extLst>
        </xdr:cNvPr>
        <xdr:cNvSpPr txBox="1"/>
      </xdr:nvSpPr>
      <xdr:spPr>
        <a:xfrm>
          <a:off x="0" y="30556200"/>
          <a:ext cx="220317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(นายสุวิช  พลเมือง)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นายช่างโยธาชำนาญงาน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2686050</xdr:colOff>
      <xdr:row>121</xdr:row>
      <xdr:rowOff>167311</xdr:rowOff>
    </xdr:from>
    <xdr:ext cx="2228022" cy="790576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D693D67-65CE-4BA3-B720-A370BB1837AB}"/>
            </a:ext>
          </a:extLst>
        </xdr:cNvPr>
        <xdr:cNvSpPr txBox="1"/>
      </xdr:nvSpPr>
      <xdr:spPr>
        <a:xfrm>
          <a:off x="3771900" y="30552061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(นายชาลี  เบญจวงศ์)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นายช่างโยธาอาวุโส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714375</xdr:colOff>
      <xdr:row>121</xdr:row>
      <xdr:rowOff>161925</xdr:rowOff>
    </xdr:from>
    <xdr:ext cx="2228022" cy="790576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A0BC410D-EC46-42C2-845F-B33653E96597}"/>
            </a:ext>
          </a:extLst>
        </xdr:cNvPr>
        <xdr:cNvSpPr txBox="1"/>
      </xdr:nvSpPr>
      <xdr:spPr>
        <a:xfrm>
          <a:off x="1800225" y="30546675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(นายไพโรจน์  กลิ่นหวาน)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นายช่างเครื่องกลอาวุโส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6</xdr:col>
      <xdr:colOff>257175</xdr:colOff>
      <xdr:row>121</xdr:row>
      <xdr:rowOff>152400</xdr:rowOff>
    </xdr:from>
    <xdr:ext cx="2228022" cy="790576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EA20CE86-7B28-4335-A9C2-10276AF2D326}"/>
            </a:ext>
          </a:extLst>
        </xdr:cNvPr>
        <xdr:cNvSpPr txBox="1"/>
      </xdr:nvSpPr>
      <xdr:spPr>
        <a:xfrm>
          <a:off x="5876925" y="30537150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(นายวินัย  ดวงแก้ว)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วิศวกรเครื่องกลชำนาญการพิเศษ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41</xdr:row>
      <xdr:rowOff>1242</xdr:rowOff>
    </xdr:from>
    <xdr:ext cx="3324225" cy="790576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1B890E6F-9A71-48A5-97A1-D04B6D24AAFC}"/>
            </a:ext>
          </a:extLst>
        </xdr:cNvPr>
        <xdr:cNvSpPr txBox="1"/>
      </xdr:nvSpPr>
      <xdr:spPr>
        <a:xfrm>
          <a:off x="2581275" y="9564342"/>
          <a:ext cx="332422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ประธานกรรมการ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(นายสมชาย  มัคคะที)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ผู้อำนวยการส่วนป้องกันและปฏิบัติการ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2203175" cy="790576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18317CCC-8CC1-4F69-AB02-E337AF85537E}"/>
            </a:ext>
          </a:extLst>
        </xdr:cNvPr>
        <xdr:cNvSpPr txBox="1"/>
      </xdr:nvSpPr>
      <xdr:spPr>
        <a:xfrm>
          <a:off x="790575" y="7181850"/>
          <a:ext cx="220317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(นายสุวิช  พลเมือง)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นายช่างโยธาชำนาญงาน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0</xdr:colOff>
      <xdr:row>36</xdr:row>
      <xdr:rowOff>43486</xdr:rowOff>
    </xdr:from>
    <xdr:ext cx="2228022" cy="790576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4DF35F92-616D-4287-ACE3-7AC736EE1EC9}"/>
            </a:ext>
          </a:extLst>
        </xdr:cNvPr>
        <xdr:cNvSpPr txBox="1"/>
      </xdr:nvSpPr>
      <xdr:spPr>
        <a:xfrm>
          <a:off x="790575" y="8415961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(นายชาลี  เบญจวงศ์)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นายช่างโยธาอาวุโส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6</xdr:col>
      <xdr:colOff>752475</xdr:colOff>
      <xdr:row>31</xdr:row>
      <xdr:rowOff>0</xdr:rowOff>
    </xdr:from>
    <xdr:ext cx="2228022" cy="790576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6B4479D9-8EDC-407C-8BCB-EDA0D85EAB2B}"/>
            </a:ext>
          </a:extLst>
        </xdr:cNvPr>
        <xdr:cNvSpPr txBox="1"/>
      </xdr:nvSpPr>
      <xdr:spPr>
        <a:xfrm>
          <a:off x="4400550" y="7181850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(นายไพโรจน์  กลิ่นหวาน)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นายช่างเครื่องกลอาวุโส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6</xdr:col>
      <xdr:colOff>771525</xdr:colOff>
      <xdr:row>36</xdr:row>
      <xdr:rowOff>19050</xdr:rowOff>
    </xdr:from>
    <xdr:ext cx="2228022" cy="790576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88400761-616C-48C0-85EB-11C478D8E826}"/>
            </a:ext>
          </a:extLst>
        </xdr:cNvPr>
        <xdr:cNvSpPr txBox="1"/>
      </xdr:nvSpPr>
      <xdr:spPr>
        <a:xfrm>
          <a:off x="4419600" y="8391525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(นายวินัย  ดวงแก้ว)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วิศวกรเครื่องกลชำนาญการพิเศษ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571500</xdr:colOff>
      <xdr:row>46</xdr:row>
      <xdr:rowOff>180975</xdr:rowOff>
    </xdr:from>
    <xdr:ext cx="4571997" cy="1374914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8108E907-CF9E-46D6-8E2A-FD55A10DCBBE}"/>
            </a:ext>
          </a:extLst>
        </xdr:cNvPr>
        <xdr:cNvSpPr txBox="1"/>
      </xdr:nvSpPr>
      <xdr:spPr>
        <a:xfrm>
          <a:off x="1362075" y="11430000"/>
          <a:ext cx="4571997" cy="1374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อนุมัติ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(นายธีระภัทร์  ผิวสวัสธ์)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หัวหน้าสำนักงานป้องกันและบรรเทาสาธารณภัยจังหวัดมหาสารคาม รักษาการในตำแหน่ง</a:t>
          </a:r>
        </a:p>
        <a:p>
          <a:pPr algn="ctr"/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ผู้อำนวยการศูนย์ป้องกันและบรรเทาสาธารณภัย เขต ๑๓ อุบลราชธานี ปฏิบัติราชการแทน  </a:t>
          </a:r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อธิบดีกรมป้องกันและบรรเทาสาธารณภัย</a:t>
          </a:r>
          <a:endParaRPr lang="en-GB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800100</xdr:colOff>
      <xdr:row>31</xdr:row>
      <xdr:rowOff>172692</xdr:rowOff>
    </xdr:from>
    <xdr:ext cx="3324225" cy="79057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F8B1C87-5F3B-433E-9BE5-5051308E4277}"/>
            </a:ext>
          </a:extLst>
        </xdr:cNvPr>
        <xdr:cNvSpPr txBox="1"/>
      </xdr:nvSpPr>
      <xdr:spPr>
        <a:xfrm>
          <a:off x="2466975" y="8354667"/>
          <a:ext cx="332422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ประธานกรรมการ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(นายสมชาย  มัคคะที)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ผู้อำนวยการส่วนป้องกันและปฏิบัติการ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366097</xdr:colOff>
      <xdr:row>36</xdr:row>
      <xdr:rowOff>179319</xdr:rowOff>
    </xdr:from>
    <xdr:ext cx="4571997" cy="1374914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F580666-2282-445C-B707-3234E4A6B51B}"/>
            </a:ext>
          </a:extLst>
        </xdr:cNvPr>
        <xdr:cNvSpPr txBox="1"/>
      </xdr:nvSpPr>
      <xdr:spPr>
        <a:xfrm>
          <a:off x="1070947" y="7637394"/>
          <a:ext cx="4571997" cy="1374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อนุมัติ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(นายธีระภัทร์  ผิวสวัสธ์)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หัวหน้าสำนักงานป้องกันและบรรเทาสาธารณภัยจังหวัดมหาสารคาม รักษาการในตำแหน่ง</a:t>
          </a:r>
        </a:p>
        <a:p>
          <a:pPr algn="ctr"/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ผู้อำนวยการศูนย์ป้องกันและบรรเทาสาธารณภัย เขต ๑๓ อุบลราชธานี ปฏิบัติราชการแทน  </a:t>
          </a:r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อธิบดีกรมป้องกันและบรรเทาสาธารณภัย</a:t>
          </a:r>
          <a:endParaRPr lang="en-GB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0</xdr:colOff>
      <xdr:row>22</xdr:row>
      <xdr:rowOff>19050</xdr:rowOff>
    </xdr:from>
    <xdr:ext cx="2203175" cy="790576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8C1FBB8-7E3B-47CC-AD6A-D5A306782A15}"/>
            </a:ext>
          </a:extLst>
        </xdr:cNvPr>
        <xdr:cNvSpPr txBox="1"/>
      </xdr:nvSpPr>
      <xdr:spPr>
        <a:xfrm>
          <a:off x="704850" y="5972175"/>
          <a:ext cx="220317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(นายสุวิช  พลเมือง)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นายช่างโยธาชำนาญงาน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0</xdr:colOff>
      <xdr:row>27</xdr:row>
      <xdr:rowOff>14911</xdr:rowOff>
    </xdr:from>
    <xdr:ext cx="2228022" cy="790576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89E1BB6-49F2-41B3-B419-F2FA98E51F28}"/>
            </a:ext>
          </a:extLst>
        </xdr:cNvPr>
        <xdr:cNvSpPr txBox="1"/>
      </xdr:nvSpPr>
      <xdr:spPr>
        <a:xfrm>
          <a:off x="704850" y="7206286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(นายชาลี  เบญจวงศ์)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นายช่างโยธาอาวุโส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6</xdr:col>
      <xdr:colOff>704850</xdr:colOff>
      <xdr:row>22</xdr:row>
      <xdr:rowOff>19050</xdr:rowOff>
    </xdr:from>
    <xdr:ext cx="2228022" cy="790576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E0A9A95D-3F98-4871-BCD7-5B33A9B8F8DB}"/>
            </a:ext>
          </a:extLst>
        </xdr:cNvPr>
        <xdr:cNvSpPr txBox="1"/>
      </xdr:nvSpPr>
      <xdr:spPr>
        <a:xfrm>
          <a:off x="4286250" y="5972175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(นายไพโรจน์  กลิ่นหวาน)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นายช่างเครื่องกลอาวุโส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6</xdr:col>
      <xdr:colOff>723900</xdr:colOff>
      <xdr:row>26</xdr:row>
      <xdr:rowOff>238125</xdr:rowOff>
    </xdr:from>
    <xdr:ext cx="2228022" cy="790576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7FE69C61-EA36-4C0E-A2E6-806DDE992B4C}"/>
            </a:ext>
          </a:extLst>
        </xdr:cNvPr>
        <xdr:cNvSpPr txBox="1"/>
      </xdr:nvSpPr>
      <xdr:spPr>
        <a:xfrm>
          <a:off x="4305300" y="7181850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(นายวินัย  ดวงแก้ว)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วิศวกรเครื่องกลชำนาญการพิเศษ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809625</xdr:colOff>
      <xdr:row>32</xdr:row>
      <xdr:rowOff>20292</xdr:rowOff>
    </xdr:from>
    <xdr:ext cx="3324225" cy="79057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76E7FDB-40DB-4580-9319-90C7B07B9726}"/>
            </a:ext>
          </a:extLst>
        </xdr:cNvPr>
        <xdr:cNvSpPr txBox="1"/>
      </xdr:nvSpPr>
      <xdr:spPr>
        <a:xfrm>
          <a:off x="2409825" y="8716617"/>
          <a:ext cx="332422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ประธานกรรมการ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(นายสมชาย  มัคคะที)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ผู้อำนวยการส่วนป้องกันและปฏิบัติการ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2203175" cy="79057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27D39552-A3FF-4832-BBE8-B77B5974F7AC}"/>
            </a:ext>
          </a:extLst>
        </xdr:cNvPr>
        <xdr:cNvSpPr txBox="1"/>
      </xdr:nvSpPr>
      <xdr:spPr>
        <a:xfrm>
          <a:off x="619125" y="4962525"/>
          <a:ext cx="220317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(นายสุวิช  พลเมือง)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นายช่างโยธาชำนาญงาน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0</xdr:colOff>
      <xdr:row>26</xdr:row>
      <xdr:rowOff>243511</xdr:rowOff>
    </xdr:from>
    <xdr:ext cx="2228022" cy="790576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10B9A0E2-C626-4259-9CE3-F40B45CC6543}"/>
            </a:ext>
          </a:extLst>
        </xdr:cNvPr>
        <xdr:cNvSpPr txBox="1"/>
      </xdr:nvSpPr>
      <xdr:spPr>
        <a:xfrm>
          <a:off x="619125" y="6196636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(นายชาลี  เบญจวงศ์)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นายช่างโยธาอาวุโส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6</xdr:col>
      <xdr:colOff>495300</xdr:colOff>
      <xdr:row>22</xdr:row>
      <xdr:rowOff>0</xdr:rowOff>
    </xdr:from>
    <xdr:ext cx="2228022" cy="790576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2DBE135B-9306-4317-9867-3F7D7D98ED36}"/>
            </a:ext>
          </a:extLst>
        </xdr:cNvPr>
        <xdr:cNvSpPr txBox="1"/>
      </xdr:nvSpPr>
      <xdr:spPr>
        <a:xfrm>
          <a:off x="4229100" y="4962525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(นายไพโรจน์  กลิ่นหวาน)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นายช่างเครื่องกลอาวุโส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6</xdr:col>
      <xdr:colOff>514350</xdr:colOff>
      <xdr:row>26</xdr:row>
      <xdr:rowOff>219075</xdr:rowOff>
    </xdr:from>
    <xdr:ext cx="2228022" cy="790576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C9C36C76-0ADD-4A22-8125-585DAF43CFBB}"/>
            </a:ext>
          </a:extLst>
        </xdr:cNvPr>
        <xdr:cNvSpPr txBox="1"/>
      </xdr:nvSpPr>
      <xdr:spPr>
        <a:xfrm>
          <a:off x="4248150" y="6172200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(นายวินัย  ดวงแก้ว)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วิศวกรเครื่องกลชำนาญการพิเศษ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419100</xdr:colOff>
      <xdr:row>36</xdr:row>
      <xdr:rowOff>200025</xdr:rowOff>
    </xdr:from>
    <xdr:ext cx="4571997" cy="1374914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F51E9DFE-7F10-4BD1-9F74-0E0A88810B1F}"/>
            </a:ext>
          </a:extLst>
        </xdr:cNvPr>
        <xdr:cNvSpPr txBox="1"/>
      </xdr:nvSpPr>
      <xdr:spPr>
        <a:xfrm>
          <a:off x="1038225" y="9886950"/>
          <a:ext cx="4571997" cy="1374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อนุมัติ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(นายธีระภัทร์  ผิวสวัสธ์)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หัวหน้าสำนักงานป้องกันและบรรเทาสาธารณภัยจังหวัดมหาสารคาม รักษาการในตำแหน่ง</a:t>
          </a:r>
        </a:p>
        <a:p>
          <a:pPr algn="ctr"/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ผู้อำนวยการศูนย์ป้องกันและบรรเทาสาธารณภัย เขต ๑๓ อุบลราชธานี ปฏิบัติราชการแทน  </a:t>
          </a:r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อธิบดีกรมป้องกันและบรรเทาสาธารณภัย</a:t>
          </a:r>
          <a:endParaRPr lang="en-GB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2905125</xdr:colOff>
      <xdr:row>27</xdr:row>
      <xdr:rowOff>67917</xdr:rowOff>
    </xdr:from>
    <xdr:ext cx="2505075" cy="79057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DF0D40C-0F9D-48B9-B082-86FC9828F703}"/>
            </a:ext>
          </a:extLst>
        </xdr:cNvPr>
        <xdr:cNvSpPr txBox="1"/>
      </xdr:nvSpPr>
      <xdr:spPr>
        <a:xfrm>
          <a:off x="4019550" y="8821392"/>
          <a:ext cx="250507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ประธานกรรมการ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(นายสมชาย  มัคคะที)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ผู้อำนวยการส่วนป้องกันและปฏิบัติการ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419100</xdr:colOff>
      <xdr:row>23</xdr:row>
      <xdr:rowOff>457200</xdr:rowOff>
    </xdr:from>
    <xdr:ext cx="2203175" cy="79057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B4A8D8C-68D1-4E30-985A-697979F98044}"/>
            </a:ext>
          </a:extLst>
        </xdr:cNvPr>
        <xdr:cNvSpPr txBox="1"/>
      </xdr:nvSpPr>
      <xdr:spPr>
        <a:xfrm>
          <a:off x="419100" y="7629525"/>
          <a:ext cx="220317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(นายสุวิช  พลเมือง)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นายช่างโยธาชำนาญงาน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428625</xdr:colOff>
      <xdr:row>23</xdr:row>
      <xdr:rowOff>653086</xdr:rowOff>
    </xdr:from>
    <xdr:ext cx="2228022" cy="790576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2A7F9A5-C635-446F-8BAE-6FFAC53D3081}"/>
            </a:ext>
          </a:extLst>
        </xdr:cNvPr>
        <xdr:cNvSpPr txBox="1"/>
      </xdr:nvSpPr>
      <xdr:spPr>
        <a:xfrm>
          <a:off x="5219700" y="7825411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(นายชาลี  เบญจวงศ์)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นายช่างโยธาอาวุโส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1743075</xdr:colOff>
      <xdr:row>23</xdr:row>
      <xdr:rowOff>571500</xdr:rowOff>
    </xdr:from>
    <xdr:ext cx="2228022" cy="790576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E0EEF2BC-35F2-480E-ADD3-0141E16E1F23}"/>
            </a:ext>
          </a:extLst>
        </xdr:cNvPr>
        <xdr:cNvSpPr txBox="1"/>
      </xdr:nvSpPr>
      <xdr:spPr>
        <a:xfrm>
          <a:off x="2857500" y="7743825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(นายไพโรจน์  กลิ่นหวาน)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นายช่างเครื่องกลอาวุโส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</xdr:col>
      <xdr:colOff>390525</xdr:colOff>
      <xdr:row>27</xdr:row>
      <xdr:rowOff>47625</xdr:rowOff>
    </xdr:from>
    <xdr:ext cx="2228022" cy="790576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BAEEC2B8-D5AB-4ACF-83EC-DF446EB43BA3}"/>
            </a:ext>
          </a:extLst>
        </xdr:cNvPr>
        <xdr:cNvSpPr txBox="1"/>
      </xdr:nvSpPr>
      <xdr:spPr>
        <a:xfrm>
          <a:off x="1000125" y="8801100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(นายวินัย  ดวงแก้ว)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วิศวกรเครื่องกลชำนาญการพิเศษ  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0</xdr:colOff>
      <xdr:row>31</xdr:row>
      <xdr:rowOff>9525</xdr:rowOff>
    </xdr:from>
    <xdr:ext cx="4571997" cy="1374914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4B25A6B5-85B7-4803-A0BF-F2B8920AAAC3}"/>
            </a:ext>
          </a:extLst>
        </xdr:cNvPr>
        <xdr:cNvSpPr txBox="1"/>
      </xdr:nvSpPr>
      <xdr:spPr>
        <a:xfrm>
          <a:off x="1114425" y="10210800"/>
          <a:ext cx="4571997" cy="1374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อนุมัติ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(นายธีระภัทร์  ผิวสวัสธ์)</a:t>
          </a: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หัวหน้าสำนักงานป้องกันและบรรเทาสาธารณภัยจังหวัดมหาสารคาม รักษาการในตำแหน่ง</a:t>
          </a:r>
        </a:p>
        <a:p>
          <a:pPr algn="ctr"/>
          <a:r>
            <a:rPr lang="th-TH" sz="14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ผู้อำนวยการศูนย์ป้องกันและบรรเทาสาธารณภัย เขต ๑๓ อุบลราชธานี ปฏิบัติราชการแทน  </a:t>
          </a:r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อธิบดีกรมป้องกันและบรรเทาสาธารณภัย</a:t>
          </a:r>
          <a:endParaRPr lang="en-GB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3629025</xdr:colOff>
      <xdr:row>26</xdr:row>
      <xdr:rowOff>239367</xdr:rowOff>
    </xdr:from>
    <xdr:ext cx="2505075" cy="79057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0AD286D-7357-4F7B-AB17-AD87616C08A9}"/>
            </a:ext>
          </a:extLst>
        </xdr:cNvPr>
        <xdr:cNvSpPr txBox="1"/>
      </xdr:nvSpPr>
      <xdr:spPr>
        <a:xfrm>
          <a:off x="4848225" y="8078442"/>
          <a:ext cx="250507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ประธานกรรมการ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(นายสมชาย  มัคคะที)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ผู้อำนวยการส่วนป้องกันและปฏิบัติการ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</xdr:col>
      <xdr:colOff>857250</xdr:colOff>
      <xdr:row>21</xdr:row>
      <xdr:rowOff>0</xdr:rowOff>
    </xdr:from>
    <xdr:ext cx="2203175" cy="79057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C001046-1DAC-4313-B73A-41146E52CC7D}"/>
            </a:ext>
          </a:extLst>
        </xdr:cNvPr>
        <xdr:cNvSpPr txBox="1"/>
      </xdr:nvSpPr>
      <xdr:spPr>
        <a:xfrm>
          <a:off x="1057275" y="6457950"/>
          <a:ext cx="220317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(นายสุวิช  พลเมือง)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นายช่างโยธาชำนาญงาน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4219575</xdr:colOff>
      <xdr:row>20</xdr:row>
      <xdr:rowOff>272086</xdr:rowOff>
    </xdr:from>
    <xdr:ext cx="2228022" cy="790576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D9D013B9-99B0-4563-A6C2-A65625E142D2}"/>
            </a:ext>
          </a:extLst>
        </xdr:cNvPr>
        <xdr:cNvSpPr txBox="1"/>
      </xdr:nvSpPr>
      <xdr:spPr>
        <a:xfrm>
          <a:off x="5438775" y="6453811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(นายชาลี  เบญจวงศ์)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นายช่างโยธาอาวุโส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1971675</xdr:colOff>
      <xdr:row>20</xdr:row>
      <xdr:rowOff>257175</xdr:rowOff>
    </xdr:from>
    <xdr:ext cx="2228022" cy="790576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C23F596-2D32-413A-8BE5-13493582C790}"/>
            </a:ext>
          </a:extLst>
        </xdr:cNvPr>
        <xdr:cNvSpPr txBox="1"/>
      </xdr:nvSpPr>
      <xdr:spPr>
        <a:xfrm>
          <a:off x="3190875" y="6438900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(นายไพโรจน์  กลิ่นหวาน)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นายช่างเครื่องกลอาวุโส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190500</xdr:colOff>
      <xdr:row>26</xdr:row>
      <xdr:rowOff>228600</xdr:rowOff>
    </xdr:from>
    <xdr:ext cx="2228022" cy="790576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66346BEC-963B-4E2C-8C39-3209D55774A0}"/>
            </a:ext>
          </a:extLst>
        </xdr:cNvPr>
        <xdr:cNvSpPr txBox="1"/>
      </xdr:nvSpPr>
      <xdr:spPr>
        <a:xfrm>
          <a:off x="1409700" y="8067675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(นายวินัย  ดวงแก้ว)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วิศวกรเครื่องกลชำนาญการพิเศษ  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733425</xdr:colOff>
      <xdr:row>26</xdr:row>
      <xdr:rowOff>163167</xdr:rowOff>
    </xdr:from>
    <xdr:ext cx="3324225" cy="79057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DFC29DF-B87E-461E-B09C-EDA115A5A6F8}"/>
            </a:ext>
          </a:extLst>
        </xdr:cNvPr>
        <xdr:cNvSpPr txBox="1"/>
      </xdr:nvSpPr>
      <xdr:spPr>
        <a:xfrm>
          <a:off x="5848350" y="7583142"/>
          <a:ext cx="332422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ประธานกรรมการ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(นายสมชาย  มัคคะที)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ผู้อำนวยการส่วนป้องกันและปฏิบัติการ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57150</xdr:colOff>
      <xdr:row>20</xdr:row>
      <xdr:rowOff>171450</xdr:rowOff>
    </xdr:from>
    <xdr:ext cx="2203175" cy="79057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B6F8E42-C897-474D-B014-AD4705A0B1DA}"/>
            </a:ext>
          </a:extLst>
        </xdr:cNvPr>
        <xdr:cNvSpPr txBox="1"/>
      </xdr:nvSpPr>
      <xdr:spPr>
        <a:xfrm>
          <a:off x="1143000" y="6105525"/>
          <a:ext cx="2203175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(นายสุวิช  พลเมือง)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นายช่างโยธาชำนาญงาน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7</xdr:col>
      <xdr:colOff>704850</xdr:colOff>
      <xdr:row>20</xdr:row>
      <xdr:rowOff>176836</xdr:rowOff>
    </xdr:from>
    <xdr:ext cx="2228022" cy="790576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11F2AF0D-3418-408D-805E-4C07B148976C}"/>
            </a:ext>
          </a:extLst>
        </xdr:cNvPr>
        <xdr:cNvSpPr txBox="1"/>
      </xdr:nvSpPr>
      <xdr:spPr>
        <a:xfrm>
          <a:off x="6677025" y="6110911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(นายชาลี  เบญจวงศ์)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นายช่างโยธาอาวุโส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4</xdr:col>
      <xdr:colOff>142875</xdr:colOff>
      <xdr:row>20</xdr:row>
      <xdr:rowOff>180975</xdr:rowOff>
    </xdr:from>
    <xdr:ext cx="2228022" cy="790576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430B2A5-1D5D-4D39-A08C-EAF8EEB6EF79}"/>
            </a:ext>
          </a:extLst>
        </xdr:cNvPr>
        <xdr:cNvSpPr txBox="1"/>
      </xdr:nvSpPr>
      <xdr:spPr>
        <a:xfrm>
          <a:off x="4000500" y="6115050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(นายไพโรจน์  กลิ่นหวาน)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นายช่างเครื่องกลอาวุโส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1171575</xdr:colOff>
      <xdr:row>26</xdr:row>
      <xdr:rowOff>161925</xdr:rowOff>
    </xdr:from>
    <xdr:ext cx="2228022" cy="790576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B53D0A96-0B02-4330-9B04-55321D7D3924}"/>
            </a:ext>
          </a:extLst>
        </xdr:cNvPr>
        <xdr:cNvSpPr txBox="1"/>
      </xdr:nvSpPr>
      <xdr:spPr>
        <a:xfrm>
          <a:off x="2257425" y="7581900"/>
          <a:ext cx="2228022" cy="79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กรรมการ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(นายวินัย  ดวงแก้ว)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วิศวกรเครื่องกลชำนาญการพิเศษ</a:t>
          </a:r>
          <a:endParaRPr lang="en-GB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56-&#3650;&#3611;&#3619;&#3649;&#3585;&#3619;&#3617;\Master_ROAD_01-03-5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ข้อมูลถนน"/>
      <sheetName val="ปริมาณงาน"/>
      <sheetName val="ข้อมูลสะพาน"/>
      <sheetName val="ระยะขนส่ง"/>
      <sheetName val="สรุปรายละเอียด"/>
      <sheetName val="ปร5ท"/>
      <sheetName val="ปร4.1ท"/>
      <sheetName val="ปร4.2ท"/>
      <sheetName val="ค.งานทั่วไป"/>
      <sheetName val="ค่าเสื่อมราคา"/>
      <sheetName val="ค่างานต้นทุน"/>
      <sheetName val="ถนนคสล"/>
      <sheetName val="ต้นทุนcon,steel&amp;แบบ"/>
      <sheetName val="Cut-Fill"/>
      <sheetName val="ท่อ&amp;HW"/>
      <sheetName val="H@E"/>
      <sheetName val="ป้ายจราจร"/>
      <sheetName val="Widennig"/>
      <sheetName val="ทางเชื่อม"/>
      <sheetName val="ข้อมูลท่อเหลี่ยม"/>
      <sheetName val="สรุปข้อมูลสะพาน"/>
      <sheetName val="INPUTริม_PileBenh_ส-2301"/>
      <sheetName val="INPUTกลาง_PileBenh_ส-2101"/>
      <sheetName val="Box-Gir13-20(LR)"/>
      <sheetName val="TOPPINGBox-Gir13-20(LR)"/>
      <sheetName val="ราวสะพาน_ส-5019"/>
      <sheetName val="B_คำนวณ"/>
      <sheetName val="ค่าขนส่ง"/>
      <sheetName val="Factor_F"/>
      <sheetName val="สรุปPlank"/>
      <sheetName val="SLOPE PROTECT"/>
      <sheetName val="Module3"/>
    </sheetNames>
    <sheetDataSet>
      <sheetData sheetId="0"/>
      <sheetData sheetId="1"/>
      <sheetData sheetId="2"/>
      <sheetData sheetId="3">
        <row r="4">
          <cell r="AE4">
            <v>389</v>
          </cell>
          <cell r="AG4">
            <v>528.33000000000004</v>
          </cell>
        </row>
        <row r="16">
          <cell r="W16">
            <v>50</v>
          </cell>
          <cell r="Y16">
            <v>95.34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132"/>
  <sheetViews>
    <sheetView tabSelected="1" view="pageBreakPreview" topLeftCell="A25" zoomScaleNormal="106" zoomScaleSheetLayoutView="100" workbookViewId="0">
      <selection activeCell="P70" sqref="P70"/>
    </sheetView>
  </sheetViews>
  <sheetFormatPr defaultRowHeight="23.25" x14ac:dyDescent="0.5"/>
  <cols>
    <col min="1" max="1" width="0.85546875" style="121" customWidth="1"/>
    <col min="2" max="2" width="6.7109375" style="121" customWidth="1"/>
    <col min="3" max="3" width="8.7109375" style="121" customWidth="1"/>
    <col min="4" max="4" width="49.5703125" style="121" customWidth="1"/>
    <col min="5" max="5" width="10.7109375" style="121" customWidth="1"/>
    <col min="6" max="6" width="7.7109375" style="121" customWidth="1"/>
    <col min="7" max="7" width="12.7109375" style="121" customWidth="1"/>
    <col min="8" max="8" width="14.28515625" style="121" customWidth="1"/>
    <col min="9" max="9" width="12.7109375" style="121" customWidth="1"/>
    <col min="10" max="10" width="13.7109375" style="121" customWidth="1"/>
    <col min="11" max="11" width="16.140625" style="121" customWidth="1"/>
    <col min="12" max="12" width="10" style="121" customWidth="1"/>
    <col min="13" max="13" width="14" style="121" customWidth="1"/>
    <col min="14" max="14" width="12.85546875" style="121" customWidth="1"/>
    <col min="15" max="15" width="11.7109375" style="122" customWidth="1"/>
    <col min="16" max="16" width="12.28515625" style="123" bestFit="1" customWidth="1"/>
    <col min="17" max="20" width="7.7109375" style="124" customWidth="1"/>
    <col min="21" max="22" width="11.28515625" style="125" customWidth="1"/>
    <col min="23" max="23" width="12.28515625" style="125" bestFit="1" customWidth="1"/>
    <col min="24" max="27" width="11.28515625" style="125" customWidth="1"/>
    <col min="28" max="28" width="9" style="125" bestFit="1" customWidth="1"/>
    <col min="29" max="29" width="9.28515625" style="125" bestFit="1" customWidth="1"/>
    <col min="30" max="37" width="7.7109375" style="125" customWidth="1"/>
    <col min="38" max="40" width="9.140625" style="125"/>
    <col min="41" max="16384" width="9.140625" style="121"/>
  </cols>
  <sheetData>
    <row r="1" spans="2:40" ht="20.100000000000001" customHeight="1" x14ac:dyDescent="0.55000000000000004"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307" t="s">
        <v>29</v>
      </c>
      <c r="M1" s="120"/>
    </row>
    <row r="2" spans="2:40" ht="27" customHeight="1" thickBot="1" x14ac:dyDescent="0.7">
      <c r="B2" s="418" t="s">
        <v>372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176"/>
    </row>
    <row r="3" spans="2:40" ht="23.25" customHeight="1" thickTop="1" x14ac:dyDescent="0.55000000000000004">
      <c r="B3" s="311" t="s">
        <v>5</v>
      </c>
      <c r="C3" s="312"/>
      <c r="D3" s="312" t="s">
        <v>26</v>
      </c>
      <c r="E3" s="312"/>
      <c r="F3" s="312"/>
      <c r="G3" s="312"/>
      <c r="H3" s="312"/>
      <c r="I3" s="312"/>
      <c r="J3" s="312"/>
      <c r="K3" s="312"/>
      <c r="L3" s="312"/>
      <c r="M3" s="119"/>
    </row>
    <row r="4" spans="2:40" ht="23.25" customHeight="1" x14ac:dyDescent="0.55000000000000004">
      <c r="B4" s="308" t="s">
        <v>4</v>
      </c>
      <c r="C4" s="292"/>
      <c r="D4" s="292" t="s">
        <v>375</v>
      </c>
      <c r="E4" s="292"/>
      <c r="F4" s="292"/>
      <c r="G4" s="292"/>
      <c r="H4" s="292"/>
      <c r="I4" s="292"/>
      <c r="J4" s="292"/>
      <c r="K4" s="292"/>
      <c r="L4" s="309"/>
      <c r="M4" s="120"/>
    </row>
    <row r="5" spans="2:40" ht="23.25" customHeight="1" x14ac:dyDescent="0.55000000000000004">
      <c r="B5" s="308" t="s">
        <v>23</v>
      </c>
      <c r="C5" s="292"/>
      <c r="D5" s="292" t="str">
        <f>D3</f>
        <v>กรมป้องกันและบรรเทาสาธารณภัย</v>
      </c>
      <c r="E5" s="292"/>
      <c r="F5" s="292"/>
      <c r="G5" s="292"/>
      <c r="H5" s="292"/>
      <c r="I5" s="292"/>
      <c r="J5" s="292"/>
      <c r="K5" s="292"/>
      <c r="L5" s="309"/>
      <c r="M5" s="120"/>
    </row>
    <row r="6" spans="2:40" ht="23.25" customHeight="1" x14ac:dyDescent="0.55000000000000004">
      <c r="B6" s="308" t="s">
        <v>6</v>
      </c>
      <c r="C6" s="292"/>
      <c r="D6" s="393" t="s">
        <v>346</v>
      </c>
      <c r="E6" s="393"/>
      <c r="F6" s="393"/>
      <c r="G6" s="393"/>
      <c r="H6" s="393"/>
      <c r="I6" s="393"/>
      <c r="J6" s="292"/>
      <c r="K6" s="292"/>
      <c r="L6" s="309"/>
      <c r="M6" s="120"/>
    </row>
    <row r="7" spans="2:40" ht="23.25" customHeight="1" x14ac:dyDescent="0.55000000000000004">
      <c r="B7" s="308" t="s">
        <v>24</v>
      </c>
      <c r="C7" s="292"/>
      <c r="D7" s="310" t="s">
        <v>236</v>
      </c>
      <c r="E7" s="292"/>
      <c r="F7" s="292"/>
      <c r="G7" s="292"/>
      <c r="H7" s="292"/>
      <c r="I7" s="292"/>
      <c r="J7" s="292"/>
      <c r="K7" s="292"/>
      <c r="L7" s="292"/>
      <c r="M7" s="119"/>
    </row>
    <row r="8" spans="2:40" ht="23.25" customHeight="1" thickBot="1" x14ac:dyDescent="0.6">
      <c r="B8" s="308" t="s">
        <v>50</v>
      </c>
      <c r="C8" s="292"/>
      <c r="D8" s="292" t="s">
        <v>401</v>
      </c>
      <c r="E8" s="292"/>
      <c r="F8" s="292"/>
      <c r="G8" s="292"/>
      <c r="H8" s="292"/>
      <c r="I8" s="292"/>
      <c r="J8" s="292"/>
      <c r="K8" s="292"/>
      <c r="L8" s="292"/>
      <c r="M8" s="119"/>
    </row>
    <row r="9" spans="2:40" ht="21" customHeight="1" thickTop="1" x14ac:dyDescent="0.55000000000000004">
      <c r="B9" s="227" t="s">
        <v>52</v>
      </c>
      <c r="C9" s="421" t="s">
        <v>0</v>
      </c>
      <c r="D9" s="422"/>
      <c r="E9" s="425" t="s">
        <v>2</v>
      </c>
      <c r="F9" s="427" t="s">
        <v>1</v>
      </c>
      <c r="G9" s="429" t="s">
        <v>349</v>
      </c>
      <c r="H9" s="430"/>
      <c r="I9" s="429" t="s">
        <v>350</v>
      </c>
      <c r="J9" s="431"/>
      <c r="K9" s="228" t="s">
        <v>19</v>
      </c>
      <c r="L9" s="419" t="s">
        <v>3</v>
      </c>
      <c r="M9" s="184"/>
      <c r="O9" s="413" t="s">
        <v>62</v>
      </c>
      <c r="P9" s="413"/>
      <c r="Q9" s="127"/>
      <c r="R9" s="127"/>
    </row>
    <row r="10" spans="2:40" ht="21" customHeight="1" thickBot="1" x14ac:dyDescent="0.6">
      <c r="B10" s="229" t="s">
        <v>53</v>
      </c>
      <c r="C10" s="423"/>
      <c r="D10" s="424"/>
      <c r="E10" s="426"/>
      <c r="F10" s="428"/>
      <c r="G10" s="230" t="s">
        <v>30</v>
      </c>
      <c r="H10" s="231" t="s">
        <v>20</v>
      </c>
      <c r="I10" s="230" t="s">
        <v>30</v>
      </c>
      <c r="J10" s="232" t="s">
        <v>20</v>
      </c>
      <c r="K10" s="233" t="s">
        <v>21</v>
      </c>
      <c r="L10" s="420"/>
      <c r="M10" s="184"/>
      <c r="O10" s="126" t="s">
        <v>63</v>
      </c>
      <c r="P10" s="128" t="s">
        <v>64</v>
      </c>
    </row>
    <row r="11" spans="2:40" ht="22.5" customHeight="1" thickTop="1" x14ac:dyDescent="0.55000000000000004">
      <c r="B11" s="234"/>
      <c r="C11" s="414" t="str">
        <f>D4</f>
        <v xml:space="preserve">ก่อสร้างอาคารเก็บสะพานเบลี่ย์ และวัสดุอุปกรณ์พร้อมโอเวอร์เฮดเครน </v>
      </c>
      <c r="D11" s="415"/>
      <c r="E11" s="235"/>
      <c r="F11" s="236"/>
      <c r="G11" s="237"/>
      <c r="H11" s="238"/>
      <c r="I11" s="239"/>
      <c r="J11" s="238"/>
      <c r="K11" s="240"/>
      <c r="L11" s="241"/>
      <c r="M11" s="185"/>
      <c r="O11" s="129"/>
      <c r="P11" s="130"/>
    </row>
    <row r="12" spans="2:40" ht="20.100000000000001" customHeight="1" x14ac:dyDescent="0.55000000000000004">
      <c r="B12" s="242">
        <v>1</v>
      </c>
      <c r="C12" s="416" t="s">
        <v>311</v>
      </c>
      <c r="D12" s="417"/>
      <c r="E12" s="243"/>
      <c r="F12" s="244"/>
      <c r="G12" s="245"/>
      <c r="H12" s="246"/>
      <c r="I12" s="243"/>
      <c r="J12" s="246"/>
      <c r="K12" s="247"/>
      <c r="L12" s="248"/>
      <c r="M12" s="185"/>
      <c r="O12" s="129"/>
      <c r="P12" s="130"/>
    </row>
    <row r="13" spans="2:40" ht="20.100000000000001" customHeight="1" x14ac:dyDescent="0.55000000000000004">
      <c r="B13" s="313">
        <v>1.1000000000000001</v>
      </c>
      <c r="C13" s="396" t="s">
        <v>325</v>
      </c>
      <c r="D13" s="397"/>
      <c r="E13" s="243">
        <v>1</v>
      </c>
      <c r="F13" s="244" t="s">
        <v>232</v>
      </c>
      <c r="G13" s="245">
        <v>0</v>
      </c>
      <c r="H13" s="251">
        <f>E13*G13</f>
        <v>0</v>
      </c>
      <c r="I13" s="252">
        <v>4000</v>
      </c>
      <c r="J13" s="253">
        <f>E13*I13</f>
        <v>4000</v>
      </c>
      <c r="K13" s="254">
        <f>H13+J13</f>
        <v>4000</v>
      </c>
      <c r="L13" s="248"/>
      <c r="M13" s="185"/>
      <c r="O13" s="129"/>
      <c r="P13" s="130"/>
    </row>
    <row r="14" spans="2:40" ht="20.100000000000001" customHeight="1" x14ac:dyDescent="0.55000000000000004">
      <c r="B14" s="313">
        <v>1.2</v>
      </c>
      <c r="C14" s="396" t="s">
        <v>313</v>
      </c>
      <c r="D14" s="397"/>
      <c r="E14" s="243">
        <v>1</v>
      </c>
      <c r="F14" s="244" t="s">
        <v>232</v>
      </c>
      <c r="G14" s="245">
        <v>0</v>
      </c>
      <c r="H14" s="251">
        <f t="shared" ref="H14:H15" si="0">E14*G14</f>
        <v>0</v>
      </c>
      <c r="I14" s="252">
        <v>4000</v>
      </c>
      <c r="J14" s="253">
        <f t="shared" ref="J14:J15" si="1">E14*I14</f>
        <v>4000</v>
      </c>
      <c r="K14" s="254">
        <f t="shared" ref="K14:K15" si="2">H14+J14</f>
        <v>4000</v>
      </c>
      <c r="L14" s="248"/>
      <c r="M14" s="185"/>
      <c r="O14" s="129"/>
      <c r="P14" s="130"/>
    </row>
    <row r="15" spans="2:40" ht="20.100000000000001" customHeight="1" x14ac:dyDescent="0.55000000000000004">
      <c r="B15" s="313">
        <v>1.3</v>
      </c>
      <c r="C15" s="396" t="s">
        <v>316</v>
      </c>
      <c r="D15" s="397"/>
      <c r="E15" s="243">
        <v>1</v>
      </c>
      <c r="F15" s="244" t="s">
        <v>312</v>
      </c>
      <c r="G15" s="245">
        <v>15000</v>
      </c>
      <c r="H15" s="251">
        <f t="shared" si="0"/>
        <v>15000</v>
      </c>
      <c r="I15" s="252">
        <v>0</v>
      </c>
      <c r="J15" s="253">
        <f t="shared" si="1"/>
        <v>0</v>
      </c>
      <c r="K15" s="254">
        <f t="shared" si="2"/>
        <v>15000</v>
      </c>
      <c r="L15" s="248"/>
      <c r="M15" s="185"/>
      <c r="O15" s="129"/>
      <c r="P15" s="130"/>
    </row>
    <row r="16" spans="2:40" ht="20.100000000000001" customHeight="1" x14ac:dyDescent="0.55000000000000004">
      <c r="B16" s="255">
        <v>2</v>
      </c>
      <c r="C16" s="416" t="s">
        <v>237</v>
      </c>
      <c r="D16" s="417"/>
      <c r="E16" s="252"/>
      <c r="F16" s="256"/>
      <c r="G16" s="257"/>
      <c r="H16" s="258"/>
      <c r="I16" s="252"/>
      <c r="J16" s="259"/>
      <c r="K16" s="260"/>
      <c r="L16" s="261"/>
      <c r="M16" s="185"/>
      <c r="O16" s="129"/>
      <c r="P16" s="130"/>
      <c r="Q16" s="132" t="s">
        <v>57</v>
      </c>
      <c r="R16" s="132" t="s">
        <v>58</v>
      </c>
      <c r="S16" s="132" t="s">
        <v>59</v>
      </c>
      <c r="T16" s="132" t="s">
        <v>2</v>
      </c>
      <c r="AM16" s="121"/>
      <c r="AN16" s="121"/>
    </row>
    <row r="17" spans="2:40" ht="20.100000000000001" customHeight="1" x14ac:dyDescent="0.55000000000000004">
      <c r="B17" s="314">
        <v>2.1</v>
      </c>
      <c r="C17" s="396" t="s">
        <v>238</v>
      </c>
      <c r="D17" s="397"/>
      <c r="E17" s="252">
        <v>63</v>
      </c>
      <c r="F17" s="256" t="s">
        <v>56</v>
      </c>
      <c r="G17" s="257">
        <v>0</v>
      </c>
      <c r="H17" s="251">
        <f>E17*G17</f>
        <v>0</v>
      </c>
      <c r="I17" s="252">
        <v>142</v>
      </c>
      <c r="J17" s="253">
        <f>E17*I17</f>
        <v>8946</v>
      </c>
      <c r="K17" s="254">
        <f>H17+J17</f>
        <v>8946</v>
      </c>
      <c r="L17" s="261"/>
      <c r="M17" s="131">
        <v>63</v>
      </c>
      <c r="N17" s="186">
        <v>1.1000000000000001</v>
      </c>
      <c r="O17" s="133" t="s">
        <v>70</v>
      </c>
      <c r="P17" s="134" t="s">
        <v>70</v>
      </c>
      <c r="Q17" s="135">
        <v>3.8</v>
      </c>
      <c r="R17" s="135">
        <v>5</v>
      </c>
      <c r="S17" s="135">
        <v>2.15</v>
      </c>
      <c r="T17" s="135">
        <v>16</v>
      </c>
      <c r="U17" s="125">
        <f>+ROUND(+Q17*R17*S17*T17,0)</f>
        <v>654</v>
      </c>
      <c r="V17" s="136">
        <f>+E28</f>
        <v>50.5</v>
      </c>
      <c r="W17" s="137">
        <f>+(U17-V17-E84-(E80*0.05))*1.3</f>
        <v>-73.45</v>
      </c>
      <c r="AM17" s="121"/>
      <c r="AN17" s="121"/>
    </row>
    <row r="18" spans="2:40" ht="20.100000000000001" customHeight="1" x14ac:dyDescent="0.55000000000000004">
      <c r="B18" s="314">
        <v>2.2000000000000002</v>
      </c>
      <c r="C18" s="396" t="s">
        <v>239</v>
      </c>
      <c r="D18" s="397"/>
      <c r="E18" s="252">
        <v>39</v>
      </c>
      <c r="F18" s="256" t="s">
        <v>56</v>
      </c>
      <c r="G18" s="257">
        <v>327</v>
      </c>
      <c r="H18" s="251">
        <f>E18*G18</f>
        <v>12753</v>
      </c>
      <c r="I18" s="252">
        <v>112</v>
      </c>
      <c r="J18" s="253">
        <f>E18*I18</f>
        <v>4368</v>
      </c>
      <c r="K18" s="254">
        <f>H18+J18</f>
        <v>17121</v>
      </c>
      <c r="L18" s="261"/>
      <c r="M18" s="131">
        <v>2.52</v>
      </c>
      <c r="N18" s="186"/>
      <c r="O18" s="133" t="s">
        <v>70</v>
      </c>
      <c r="P18" s="134" t="s">
        <v>70</v>
      </c>
      <c r="Q18" s="135">
        <v>3.8</v>
      </c>
      <c r="R18" s="135">
        <v>5</v>
      </c>
      <c r="S18" s="135">
        <v>2.15</v>
      </c>
      <c r="T18" s="135">
        <v>16</v>
      </c>
      <c r="V18" s="136"/>
      <c r="W18" s="137"/>
      <c r="AM18" s="121"/>
      <c r="AN18" s="121"/>
    </row>
    <row r="19" spans="2:40" ht="20.100000000000001" customHeight="1" x14ac:dyDescent="0.55000000000000004">
      <c r="B19" s="314">
        <v>2.2999999999999998</v>
      </c>
      <c r="C19" s="396" t="s">
        <v>240</v>
      </c>
      <c r="D19" s="397"/>
      <c r="E19" s="252"/>
      <c r="F19" s="256"/>
      <c r="G19" s="257"/>
      <c r="H19" s="251"/>
      <c r="I19" s="252"/>
      <c r="J19" s="253"/>
      <c r="K19" s="254"/>
      <c r="L19" s="261"/>
      <c r="M19" s="131"/>
      <c r="N19" s="186"/>
      <c r="O19" s="133"/>
      <c r="P19" s="134"/>
      <c r="Q19" s="138"/>
      <c r="R19" s="138"/>
      <c r="S19" s="138"/>
      <c r="T19" s="138"/>
      <c r="AM19" s="121"/>
      <c r="AN19" s="121"/>
    </row>
    <row r="20" spans="2:40" ht="20.100000000000001" customHeight="1" x14ac:dyDescent="0.55000000000000004">
      <c r="B20" s="262"/>
      <c r="C20" s="396" t="s">
        <v>351</v>
      </c>
      <c r="D20" s="397"/>
      <c r="E20" s="252">
        <v>28</v>
      </c>
      <c r="F20" s="256" t="s">
        <v>61</v>
      </c>
      <c r="G20" s="257">
        <v>6000</v>
      </c>
      <c r="H20" s="251">
        <f>E20*G20</f>
        <v>168000</v>
      </c>
      <c r="I20" s="252">
        <v>30000</v>
      </c>
      <c r="J20" s="253">
        <f>+I20</f>
        <v>30000</v>
      </c>
      <c r="K20" s="254">
        <f>H20+J20</f>
        <v>198000</v>
      </c>
      <c r="L20" s="261"/>
      <c r="M20" s="131">
        <v>28</v>
      </c>
      <c r="N20" s="186"/>
      <c r="O20" s="133"/>
      <c r="P20" s="134"/>
      <c r="Q20" s="138"/>
      <c r="R20" s="138"/>
      <c r="S20" s="138"/>
      <c r="T20" s="138"/>
      <c r="AM20" s="121"/>
      <c r="AN20" s="121"/>
    </row>
    <row r="21" spans="2:40" ht="20.100000000000001" customHeight="1" x14ac:dyDescent="0.55000000000000004">
      <c r="B21" s="262"/>
      <c r="C21" s="396" t="s">
        <v>241</v>
      </c>
      <c r="D21" s="397"/>
      <c r="E21" s="252">
        <v>28</v>
      </c>
      <c r="F21" s="256" t="s">
        <v>61</v>
      </c>
      <c r="G21" s="257">
        <v>0</v>
      </c>
      <c r="H21" s="251">
        <f>E21*G21</f>
        <v>0</v>
      </c>
      <c r="I21" s="252">
        <v>280</v>
      </c>
      <c r="J21" s="253">
        <f>E21*I21</f>
        <v>7840</v>
      </c>
      <c r="K21" s="254">
        <f>H21+J21</f>
        <v>7840</v>
      </c>
      <c r="L21" s="261"/>
      <c r="M21" s="131">
        <v>28</v>
      </c>
      <c r="N21" s="186"/>
      <c r="O21" s="129"/>
      <c r="P21" s="130"/>
      <c r="Q21" s="138"/>
      <c r="R21" s="138"/>
      <c r="S21" s="138"/>
      <c r="T21" s="138"/>
      <c r="AM21" s="121"/>
      <c r="AN21" s="121"/>
    </row>
    <row r="22" spans="2:40" ht="20.100000000000001" customHeight="1" x14ac:dyDescent="0.55000000000000004">
      <c r="B22" s="262"/>
      <c r="C22" s="396" t="s">
        <v>327</v>
      </c>
      <c r="D22" s="397"/>
      <c r="E22" s="252">
        <v>28</v>
      </c>
      <c r="F22" s="256" t="s">
        <v>61</v>
      </c>
      <c r="G22" s="257">
        <v>0</v>
      </c>
      <c r="H22" s="251">
        <f>E22*G22</f>
        <v>0</v>
      </c>
      <c r="I22" s="252">
        <v>350</v>
      </c>
      <c r="J22" s="253">
        <f>E22*I22</f>
        <v>9800</v>
      </c>
      <c r="K22" s="254">
        <f>H22+J22</f>
        <v>9800</v>
      </c>
      <c r="L22" s="261"/>
      <c r="M22" s="131"/>
      <c r="N22" s="186"/>
      <c r="O22" s="129"/>
      <c r="P22" s="130"/>
      <c r="Q22" s="138"/>
      <c r="R22" s="138"/>
      <c r="S22" s="138"/>
      <c r="T22" s="138"/>
      <c r="AM22" s="121"/>
      <c r="AN22" s="121"/>
    </row>
    <row r="23" spans="2:40" ht="20.100000000000001" customHeight="1" x14ac:dyDescent="0.55000000000000004">
      <c r="B23" s="313">
        <v>2.4</v>
      </c>
      <c r="C23" s="396" t="s">
        <v>315</v>
      </c>
      <c r="D23" s="397"/>
      <c r="E23" s="243">
        <v>32</v>
      </c>
      <c r="F23" s="244" t="s">
        <v>56</v>
      </c>
      <c r="G23" s="245">
        <v>13.76</v>
      </c>
      <c r="H23" s="251">
        <f>E23*G23</f>
        <v>440.32</v>
      </c>
      <c r="I23" s="252">
        <v>46.84</v>
      </c>
      <c r="J23" s="253">
        <f>E23*I23</f>
        <v>1498.88</v>
      </c>
      <c r="K23" s="254">
        <f>H23+J23</f>
        <v>1939.2</v>
      </c>
      <c r="L23" s="261"/>
      <c r="M23" s="131"/>
      <c r="N23" s="186"/>
      <c r="O23" s="129"/>
      <c r="P23" s="130"/>
      <c r="Q23" s="138"/>
      <c r="R23" s="138"/>
      <c r="S23" s="138"/>
      <c r="T23" s="138"/>
      <c r="AM23" s="121"/>
      <c r="AN23" s="121"/>
    </row>
    <row r="24" spans="2:40" ht="20.100000000000001" customHeight="1" x14ac:dyDescent="0.55000000000000004">
      <c r="B24" s="313">
        <v>2.5</v>
      </c>
      <c r="C24" s="396" t="s">
        <v>314</v>
      </c>
      <c r="D24" s="397"/>
      <c r="E24" s="243">
        <v>64</v>
      </c>
      <c r="F24" s="244" t="s">
        <v>56</v>
      </c>
      <c r="G24" s="245">
        <v>1051.4000000000001</v>
      </c>
      <c r="H24" s="251">
        <f>E24*G24</f>
        <v>67289.600000000006</v>
      </c>
      <c r="I24" s="252">
        <v>88.88</v>
      </c>
      <c r="J24" s="253">
        <f>E24*I24</f>
        <v>5688.32</v>
      </c>
      <c r="K24" s="254">
        <f>H24+J24</f>
        <v>72977.920000000013</v>
      </c>
      <c r="L24" s="261"/>
      <c r="M24" s="131"/>
      <c r="N24" s="186"/>
      <c r="O24" s="129"/>
      <c r="P24" s="130"/>
      <c r="Q24" s="138"/>
      <c r="R24" s="138"/>
      <c r="S24" s="138"/>
      <c r="T24" s="138"/>
      <c r="AM24" s="121"/>
      <c r="AN24" s="121"/>
    </row>
    <row r="25" spans="2:40" s="140" customFormat="1" ht="20.100000000000001" customHeight="1" x14ac:dyDescent="0.55000000000000004">
      <c r="B25" s="314">
        <v>2.6</v>
      </c>
      <c r="C25" s="396" t="s">
        <v>242</v>
      </c>
      <c r="D25" s="397"/>
      <c r="E25" s="263"/>
      <c r="F25" s="264"/>
      <c r="G25" s="265"/>
      <c r="H25" s="251"/>
      <c r="I25" s="266"/>
      <c r="J25" s="253"/>
      <c r="K25" s="254"/>
      <c r="L25" s="267"/>
      <c r="M25" s="139"/>
      <c r="N25" s="187"/>
      <c r="O25" s="126"/>
      <c r="P25" s="141"/>
      <c r="Q25" s="142"/>
      <c r="R25" s="142"/>
      <c r="S25" s="142"/>
      <c r="T25" s="142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2:40" s="140" customFormat="1" ht="20.100000000000001" customHeight="1" x14ac:dyDescent="0.55000000000000004">
      <c r="B26" s="255" t="s">
        <v>233</v>
      </c>
      <c r="C26" s="396" t="s">
        <v>243</v>
      </c>
      <c r="D26" s="397"/>
      <c r="E26" s="268">
        <v>580</v>
      </c>
      <c r="F26" s="256" t="s">
        <v>22</v>
      </c>
      <c r="G26" s="269">
        <v>0</v>
      </c>
      <c r="H26" s="251">
        <f t="shared" ref="H26" si="3">E26*G26</f>
        <v>0</v>
      </c>
      <c r="I26" s="252">
        <v>139</v>
      </c>
      <c r="J26" s="253">
        <f>E26*I26</f>
        <v>80620</v>
      </c>
      <c r="K26" s="254">
        <f>H26+J26</f>
        <v>80620</v>
      </c>
      <c r="L26" s="270"/>
      <c r="M26" s="144">
        <v>554</v>
      </c>
      <c r="N26" s="187"/>
      <c r="O26" s="126"/>
      <c r="P26" s="141"/>
      <c r="Q26" s="132" t="s">
        <v>57</v>
      </c>
      <c r="R26" s="132" t="s">
        <v>58</v>
      </c>
      <c r="S26" s="132" t="s">
        <v>59</v>
      </c>
      <c r="T26" s="132" t="s">
        <v>2</v>
      </c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</row>
    <row r="27" spans="2:40" s="140" customFormat="1" ht="20.100000000000001" customHeight="1" x14ac:dyDescent="0.55000000000000004">
      <c r="B27" s="255" t="s">
        <v>244</v>
      </c>
      <c r="C27" s="396" t="s">
        <v>245</v>
      </c>
      <c r="D27" s="397"/>
      <c r="E27" s="268">
        <v>174</v>
      </c>
      <c r="F27" s="256" t="s">
        <v>305</v>
      </c>
      <c r="G27" s="269">
        <v>560</v>
      </c>
      <c r="H27" s="251">
        <f>E27*G27</f>
        <v>97440</v>
      </c>
      <c r="I27" s="252">
        <v>0</v>
      </c>
      <c r="J27" s="253">
        <f>E27*I27</f>
        <v>0</v>
      </c>
      <c r="K27" s="254">
        <f>H27+J27</f>
        <v>97440</v>
      </c>
      <c r="L27" s="270"/>
      <c r="M27" s="144">
        <v>3.8</v>
      </c>
      <c r="N27" s="187"/>
      <c r="O27" s="126"/>
      <c r="P27" s="141"/>
      <c r="Q27" s="132"/>
      <c r="R27" s="132"/>
      <c r="S27" s="132"/>
      <c r="T27" s="132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</row>
    <row r="28" spans="2:40" s="140" customFormat="1" ht="20.100000000000001" customHeight="1" x14ac:dyDescent="0.55000000000000004">
      <c r="B28" s="255" t="s">
        <v>233</v>
      </c>
      <c r="C28" s="396" t="s">
        <v>246</v>
      </c>
      <c r="D28" s="397"/>
      <c r="E28" s="268">
        <v>50.5</v>
      </c>
      <c r="F28" s="256" t="s">
        <v>305</v>
      </c>
      <c r="G28" s="269">
        <v>573</v>
      </c>
      <c r="H28" s="251">
        <f t="shared" ref="H28:H30" si="4">E28*G28</f>
        <v>28936.5</v>
      </c>
      <c r="I28" s="252">
        <v>0</v>
      </c>
      <c r="J28" s="253">
        <f t="shared" ref="J28:J30" si="5">E28*I28</f>
        <v>0</v>
      </c>
      <c r="K28" s="254">
        <f t="shared" ref="K28:K30" si="6">H28+J28</f>
        <v>28936.5</v>
      </c>
      <c r="L28" s="270"/>
      <c r="M28" s="144">
        <v>3.8</v>
      </c>
      <c r="N28" s="187"/>
      <c r="O28" s="133" t="s">
        <v>74</v>
      </c>
      <c r="P28" s="145" t="s">
        <v>74</v>
      </c>
      <c r="Q28" s="135">
        <v>2.8</v>
      </c>
      <c r="R28" s="135">
        <v>4</v>
      </c>
      <c r="S28" s="135">
        <v>1</v>
      </c>
      <c r="T28" s="135">
        <v>16</v>
      </c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</row>
    <row r="29" spans="2:40" s="140" customFormat="1" ht="20.100000000000001" customHeight="1" x14ac:dyDescent="0.55000000000000004">
      <c r="B29" s="255"/>
      <c r="C29" s="396" t="s">
        <v>247</v>
      </c>
      <c r="D29" s="397"/>
      <c r="E29" s="268">
        <v>146</v>
      </c>
      <c r="F29" s="256" t="s">
        <v>61</v>
      </c>
      <c r="G29" s="269">
        <v>28</v>
      </c>
      <c r="H29" s="251">
        <f t="shared" si="4"/>
        <v>4088</v>
      </c>
      <c r="I29" s="252">
        <v>0</v>
      </c>
      <c r="J29" s="253">
        <f t="shared" si="5"/>
        <v>0</v>
      </c>
      <c r="K29" s="254">
        <f t="shared" si="6"/>
        <v>4088</v>
      </c>
      <c r="L29" s="270"/>
      <c r="M29" s="144">
        <v>146</v>
      </c>
      <c r="N29" s="187"/>
      <c r="O29" s="133" t="s">
        <v>72</v>
      </c>
      <c r="P29" s="133" t="s">
        <v>73</v>
      </c>
      <c r="Q29" s="135">
        <v>2.8</v>
      </c>
      <c r="R29" s="135">
        <v>4</v>
      </c>
      <c r="S29" s="135">
        <v>1</v>
      </c>
      <c r="T29" s="135">
        <v>16</v>
      </c>
      <c r="U29" s="434" t="s">
        <v>69</v>
      </c>
      <c r="V29" s="434"/>
      <c r="W29" s="434"/>
      <c r="X29" s="434"/>
      <c r="Y29" s="146" t="s">
        <v>68</v>
      </c>
      <c r="Z29" s="146" t="s">
        <v>67</v>
      </c>
      <c r="AA29" s="146" t="s">
        <v>66</v>
      </c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</row>
    <row r="30" spans="2:40" s="140" customFormat="1" ht="20.100000000000001" customHeight="1" x14ac:dyDescent="0.55000000000000004">
      <c r="B30" s="255" t="s">
        <v>233</v>
      </c>
      <c r="C30" s="396" t="s">
        <v>248</v>
      </c>
      <c r="D30" s="397"/>
      <c r="E30" s="268">
        <v>145</v>
      </c>
      <c r="F30" s="256" t="s">
        <v>60</v>
      </c>
      <c r="G30" s="269">
        <v>39.26</v>
      </c>
      <c r="H30" s="251">
        <f t="shared" si="4"/>
        <v>5692.7</v>
      </c>
      <c r="I30" s="252">
        <v>0</v>
      </c>
      <c r="J30" s="253">
        <f t="shared" si="5"/>
        <v>0</v>
      </c>
      <c r="K30" s="254">
        <f t="shared" si="6"/>
        <v>5692.7</v>
      </c>
      <c r="L30" s="270"/>
      <c r="M30" s="144">
        <f>+M26*0.3</f>
        <v>166.2</v>
      </c>
      <c r="N30" s="187"/>
      <c r="O30" s="133" t="s">
        <v>77</v>
      </c>
      <c r="P30" s="145" t="s">
        <v>77</v>
      </c>
      <c r="Q30" s="135">
        <v>2.8</v>
      </c>
      <c r="R30" s="135">
        <v>4</v>
      </c>
      <c r="S30" s="135">
        <v>1</v>
      </c>
      <c r="T30" s="135">
        <v>16</v>
      </c>
      <c r="U30" s="135"/>
      <c r="V30" s="135">
        <f>20*(Q30+0.15*2)*2*T30</f>
        <v>1983.9999999999998</v>
      </c>
      <c r="W30" s="135">
        <f>15*(R30+S30)*2*T30</f>
        <v>2400</v>
      </c>
      <c r="X30" s="135"/>
      <c r="Y30" s="147">
        <f>(SUM(U30:X30)/10)</f>
        <v>438.4</v>
      </c>
      <c r="Z30" s="147">
        <f>ROUND(Y30*1.13,0)</f>
        <v>495</v>
      </c>
      <c r="AA30" s="148">
        <f>+Z30*24.7</f>
        <v>12226.5</v>
      </c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</row>
    <row r="31" spans="2:40" s="140" customFormat="1" ht="20.100000000000001" customHeight="1" x14ac:dyDescent="0.55000000000000004">
      <c r="B31" s="314">
        <v>2.7</v>
      </c>
      <c r="C31" s="396" t="s">
        <v>249</v>
      </c>
      <c r="D31" s="397"/>
      <c r="E31" s="268"/>
      <c r="F31" s="256" t="s">
        <v>233</v>
      </c>
      <c r="G31" s="269"/>
      <c r="H31" s="251"/>
      <c r="I31" s="252"/>
      <c r="J31" s="253"/>
      <c r="K31" s="254"/>
      <c r="L31" s="270"/>
      <c r="M31" s="144"/>
      <c r="N31" s="187"/>
      <c r="O31" s="133" t="s">
        <v>78</v>
      </c>
      <c r="P31" s="145" t="s">
        <v>78</v>
      </c>
      <c r="Q31" s="135">
        <v>2.8</v>
      </c>
      <c r="R31" s="135">
        <v>4</v>
      </c>
      <c r="S31" s="135">
        <v>0.05</v>
      </c>
      <c r="T31" s="135">
        <v>16</v>
      </c>
      <c r="U31" s="142">
        <f>23.16*24.7</f>
        <v>572.05200000000002</v>
      </c>
      <c r="V31" s="143">
        <v>508</v>
      </c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</row>
    <row r="32" spans="2:40" s="140" customFormat="1" ht="20.100000000000001" customHeight="1" x14ac:dyDescent="0.55000000000000004">
      <c r="B32" s="255"/>
      <c r="C32" s="396" t="s">
        <v>374</v>
      </c>
      <c r="D32" s="397"/>
      <c r="E32" s="268"/>
      <c r="F32" s="256"/>
      <c r="G32" s="269"/>
      <c r="H32" s="251"/>
      <c r="I32" s="252"/>
      <c r="J32" s="253"/>
      <c r="K32" s="254"/>
      <c r="L32" s="270"/>
      <c r="M32" s="144"/>
      <c r="N32" s="187"/>
      <c r="O32" s="133"/>
      <c r="P32" s="145"/>
      <c r="Q32" s="135"/>
      <c r="R32" s="135"/>
      <c r="S32" s="135"/>
      <c r="T32" s="135"/>
      <c r="U32" s="142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</row>
    <row r="33" spans="2:40" s="140" customFormat="1" ht="20.100000000000001" customHeight="1" x14ac:dyDescent="0.55000000000000004">
      <c r="B33" s="255"/>
      <c r="C33" s="396" t="s">
        <v>352</v>
      </c>
      <c r="D33" s="397"/>
      <c r="E33" s="268">
        <f>+M33*N33</f>
        <v>1.3440000000000001</v>
      </c>
      <c r="F33" s="256" t="s">
        <v>150</v>
      </c>
      <c r="G33" s="269">
        <v>23577</v>
      </c>
      <c r="H33" s="251">
        <f t="shared" ref="H33:H92" si="7">E33*G33</f>
        <v>31687.488000000001</v>
      </c>
      <c r="I33" s="252">
        <v>4400</v>
      </c>
      <c r="J33" s="253">
        <f t="shared" ref="J33:J92" si="8">E33*I33</f>
        <v>5913.6</v>
      </c>
      <c r="K33" s="254">
        <f t="shared" ref="K33:K92" si="9">H33+J33</f>
        <v>37601.088000000003</v>
      </c>
      <c r="L33" s="270"/>
      <c r="M33" s="144">
        <v>1.28</v>
      </c>
      <c r="N33" s="187">
        <v>1.05</v>
      </c>
      <c r="O33" s="133"/>
      <c r="P33" s="145"/>
      <c r="Q33" s="135"/>
      <c r="R33" s="135"/>
      <c r="S33" s="135"/>
      <c r="T33" s="135"/>
      <c r="U33" s="142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</row>
    <row r="34" spans="2:40" s="140" customFormat="1" ht="20.100000000000001" customHeight="1" x14ac:dyDescent="0.55000000000000004">
      <c r="B34" s="271" t="s">
        <v>233</v>
      </c>
      <c r="C34" s="396" t="s">
        <v>353</v>
      </c>
      <c r="D34" s="397"/>
      <c r="E34" s="268">
        <f>+M34*N34</f>
        <v>1.1663000000000001</v>
      </c>
      <c r="F34" s="256" t="s">
        <v>150</v>
      </c>
      <c r="G34" s="269">
        <v>22100</v>
      </c>
      <c r="H34" s="251">
        <f t="shared" si="7"/>
        <v>25775.230000000003</v>
      </c>
      <c r="I34" s="252">
        <v>4400</v>
      </c>
      <c r="J34" s="253">
        <f t="shared" si="8"/>
        <v>5131.72</v>
      </c>
      <c r="K34" s="254">
        <f t="shared" si="9"/>
        <v>30906.950000000004</v>
      </c>
      <c r="L34" s="270"/>
      <c r="M34" s="144">
        <v>1.0900000000000001</v>
      </c>
      <c r="N34" s="187">
        <v>1.07</v>
      </c>
      <c r="O34" s="133" t="s">
        <v>75</v>
      </c>
      <c r="P34" s="145" t="s">
        <v>75</v>
      </c>
      <c r="Q34" s="135">
        <v>2.8</v>
      </c>
      <c r="R34" s="135">
        <v>4</v>
      </c>
      <c r="S34" s="135">
        <v>0.1</v>
      </c>
      <c r="T34" s="135">
        <v>16</v>
      </c>
      <c r="U34" s="143" t="s">
        <v>227</v>
      </c>
      <c r="V34" s="143" t="s">
        <v>226</v>
      </c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</row>
    <row r="35" spans="2:40" s="140" customFormat="1" ht="20.100000000000001" customHeight="1" x14ac:dyDescent="0.55000000000000004">
      <c r="B35" s="255" t="s">
        <v>233</v>
      </c>
      <c r="C35" s="396" t="s">
        <v>373</v>
      </c>
      <c r="D35" s="397"/>
      <c r="E35" s="268"/>
      <c r="F35" s="256" t="s">
        <v>233</v>
      </c>
      <c r="G35" s="269"/>
      <c r="H35" s="251"/>
      <c r="I35" s="252"/>
      <c r="J35" s="253"/>
      <c r="K35" s="254"/>
      <c r="L35" s="270"/>
      <c r="M35" s="144"/>
      <c r="N35" s="187"/>
      <c r="O35" s="133" t="s">
        <v>76</v>
      </c>
      <c r="P35" s="133" t="s">
        <v>76</v>
      </c>
      <c r="Q35" s="435">
        <f>SUM(K28:K35)</f>
        <v>107225.23800000001</v>
      </c>
      <c r="R35" s="436"/>
      <c r="S35" s="436"/>
      <c r="T35" s="437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</row>
    <row r="36" spans="2:40" s="140" customFormat="1" ht="20.100000000000001" customHeight="1" x14ac:dyDescent="0.55000000000000004">
      <c r="B36" s="255"/>
      <c r="C36" s="396" t="s">
        <v>354</v>
      </c>
      <c r="D36" s="397"/>
      <c r="E36" s="272">
        <f>+M36*N36</f>
        <v>0.35861000000000004</v>
      </c>
      <c r="F36" s="256" t="s">
        <v>150</v>
      </c>
      <c r="G36" s="269">
        <v>21625</v>
      </c>
      <c r="H36" s="251">
        <f t="shared" si="7"/>
        <v>7754.9412500000008</v>
      </c>
      <c r="I36" s="252">
        <v>3600</v>
      </c>
      <c r="J36" s="253">
        <f t="shared" si="8"/>
        <v>1290.9960000000001</v>
      </c>
      <c r="K36" s="254">
        <f t="shared" si="9"/>
        <v>9045.9372500000009</v>
      </c>
      <c r="L36" s="270"/>
      <c r="M36" s="175">
        <v>0.32900000000000001</v>
      </c>
      <c r="N36" s="187">
        <v>1.0900000000000001</v>
      </c>
      <c r="O36" s="133"/>
      <c r="P36" s="145"/>
      <c r="Q36" s="145"/>
      <c r="R36" s="145"/>
      <c r="S36" s="145"/>
      <c r="T36" s="145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</row>
    <row r="37" spans="2:40" s="140" customFormat="1" ht="20.100000000000001" customHeight="1" x14ac:dyDescent="0.55000000000000004">
      <c r="B37" s="255"/>
      <c r="C37" s="396" t="s">
        <v>355</v>
      </c>
      <c r="D37" s="397"/>
      <c r="E37" s="272">
        <f t="shared" ref="E37:E40" si="10">+M37*N37</f>
        <v>2.4416000000000002</v>
      </c>
      <c r="F37" s="256" t="s">
        <v>150</v>
      </c>
      <c r="G37" s="269">
        <v>21153</v>
      </c>
      <c r="H37" s="251">
        <f t="shared" si="7"/>
        <v>51647.164800000006</v>
      </c>
      <c r="I37" s="252">
        <v>3600</v>
      </c>
      <c r="J37" s="253">
        <f t="shared" si="8"/>
        <v>8789.76</v>
      </c>
      <c r="K37" s="254">
        <f t="shared" si="9"/>
        <v>60436.924800000008</v>
      </c>
      <c r="L37" s="270"/>
      <c r="M37" s="144">
        <v>2.2400000000000002</v>
      </c>
      <c r="N37" s="187">
        <v>1.0900000000000001</v>
      </c>
      <c r="O37" s="133"/>
      <c r="P37" s="145"/>
      <c r="Q37" s="145"/>
      <c r="R37" s="145"/>
      <c r="S37" s="145"/>
      <c r="T37" s="145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</row>
    <row r="38" spans="2:40" s="140" customFormat="1" ht="20.100000000000001" customHeight="1" x14ac:dyDescent="0.55000000000000004">
      <c r="B38" s="262"/>
      <c r="C38" s="396" t="s">
        <v>356</v>
      </c>
      <c r="D38" s="397"/>
      <c r="E38" s="272">
        <f t="shared" si="10"/>
        <v>1.4497000000000002</v>
      </c>
      <c r="F38" s="256" t="s">
        <v>150</v>
      </c>
      <c r="G38" s="269">
        <v>21134</v>
      </c>
      <c r="H38" s="251">
        <f t="shared" si="7"/>
        <v>30637.959800000004</v>
      </c>
      <c r="I38" s="252">
        <v>3100</v>
      </c>
      <c r="J38" s="253">
        <f t="shared" si="8"/>
        <v>4494.0700000000006</v>
      </c>
      <c r="K38" s="254">
        <f t="shared" si="9"/>
        <v>35132.029800000004</v>
      </c>
      <c r="L38" s="270"/>
      <c r="M38" s="144">
        <v>1.33</v>
      </c>
      <c r="N38" s="187">
        <v>1.0900000000000001</v>
      </c>
      <c r="O38" s="133"/>
      <c r="P38" s="145"/>
      <c r="Q38" s="145"/>
      <c r="R38" s="145"/>
      <c r="S38" s="145"/>
      <c r="T38" s="145"/>
      <c r="U38" s="143" t="s">
        <v>227</v>
      </c>
      <c r="V38" s="143" t="s">
        <v>226</v>
      </c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</row>
    <row r="39" spans="2:40" s="140" customFormat="1" ht="20.100000000000001" customHeight="1" x14ac:dyDescent="0.55000000000000004">
      <c r="B39" s="262"/>
      <c r="C39" s="396" t="s">
        <v>357</v>
      </c>
      <c r="D39" s="397"/>
      <c r="E39" s="272">
        <f t="shared" si="10"/>
        <v>5.4173</v>
      </c>
      <c r="F39" s="256" t="s">
        <v>150</v>
      </c>
      <c r="G39" s="269">
        <v>21200</v>
      </c>
      <c r="H39" s="251">
        <f t="shared" si="7"/>
        <v>114846.76</v>
      </c>
      <c r="I39" s="252">
        <v>3100</v>
      </c>
      <c r="J39" s="253">
        <f t="shared" si="8"/>
        <v>16793.63</v>
      </c>
      <c r="K39" s="254">
        <f t="shared" si="9"/>
        <v>131640.38999999998</v>
      </c>
      <c r="L39" s="270"/>
      <c r="M39" s="144">
        <v>4.97</v>
      </c>
      <c r="N39" s="187">
        <v>1.0900000000000001</v>
      </c>
      <c r="O39" s="133"/>
      <c r="P39" s="145"/>
      <c r="Q39" s="145"/>
      <c r="R39" s="145"/>
      <c r="S39" s="145"/>
      <c r="T39" s="145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</row>
    <row r="40" spans="2:40" s="140" customFormat="1" ht="20.100000000000001" customHeight="1" x14ac:dyDescent="0.55000000000000004">
      <c r="B40" s="262"/>
      <c r="C40" s="249" t="s">
        <v>261</v>
      </c>
      <c r="D40" s="250"/>
      <c r="E40" s="272">
        <f t="shared" si="10"/>
        <v>367.51530000000002</v>
      </c>
      <c r="F40" s="256" t="s">
        <v>60</v>
      </c>
      <c r="G40" s="269">
        <v>33.65</v>
      </c>
      <c r="H40" s="251">
        <f t="shared" si="7"/>
        <v>12366.889845</v>
      </c>
      <c r="I40" s="252">
        <v>0</v>
      </c>
      <c r="J40" s="253">
        <f t="shared" si="8"/>
        <v>0</v>
      </c>
      <c r="K40" s="254">
        <f t="shared" si="9"/>
        <v>12366.889845</v>
      </c>
      <c r="L40" s="270"/>
      <c r="M40" s="144">
        <f>((M33+M34+M36+M37+M38+M39)*30)</f>
        <v>337.17</v>
      </c>
      <c r="N40" s="187">
        <v>1.0900000000000001</v>
      </c>
      <c r="O40" s="133"/>
      <c r="P40" s="145"/>
      <c r="Q40" s="145"/>
      <c r="R40" s="145"/>
      <c r="S40" s="145"/>
      <c r="T40" s="145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</row>
    <row r="41" spans="2:40" s="140" customFormat="1" ht="20.100000000000001" customHeight="1" x14ac:dyDescent="0.55000000000000004">
      <c r="B41" s="314">
        <v>2.8</v>
      </c>
      <c r="C41" s="396" t="s">
        <v>250</v>
      </c>
      <c r="D41" s="397"/>
      <c r="E41" s="268"/>
      <c r="F41" s="273"/>
      <c r="G41" s="269"/>
      <c r="H41" s="251"/>
      <c r="I41" s="252"/>
      <c r="J41" s="253"/>
      <c r="K41" s="254"/>
      <c r="L41" s="270"/>
      <c r="M41" s="144"/>
      <c r="N41" s="187"/>
      <c r="O41" s="126"/>
      <c r="P41" s="141"/>
      <c r="Q41" s="132" t="s">
        <v>57</v>
      </c>
      <c r="R41" s="132" t="s">
        <v>58</v>
      </c>
      <c r="S41" s="132" t="s">
        <v>59</v>
      </c>
      <c r="T41" s="132" t="s">
        <v>2</v>
      </c>
      <c r="U41" s="135">
        <f>23.16*15.8</f>
        <v>365.928</v>
      </c>
      <c r="V41" s="149">
        <v>319</v>
      </c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</row>
    <row r="42" spans="2:40" s="140" customFormat="1" ht="20.100000000000001" customHeight="1" x14ac:dyDescent="0.55000000000000004">
      <c r="B42" s="314"/>
      <c r="C42" s="396" t="s">
        <v>251</v>
      </c>
      <c r="D42" s="397"/>
      <c r="E42" s="268">
        <v>2.75</v>
      </c>
      <c r="F42" s="256" t="s">
        <v>56</v>
      </c>
      <c r="G42" s="269">
        <v>2102</v>
      </c>
      <c r="H42" s="251">
        <f t="shared" si="7"/>
        <v>5780.5</v>
      </c>
      <c r="I42" s="252">
        <v>327</v>
      </c>
      <c r="J42" s="253">
        <f t="shared" si="8"/>
        <v>899.25</v>
      </c>
      <c r="K42" s="254">
        <f t="shared" si="9"/>
        <v>6679.75</v>
      </c>
      <c r="L42" s="270"/>
      <c r="M42" s="144">
        <v>2.5</v>
      </c>
      <c r="N42" s="187">
        <v>1.05</v>
      </c>
      <c r="O42" s="133" t="s">
        <v>74</v>
      </c>
      <c r="P42" s="145" t="s">
        <v>74</v>
      </c>
      <c r="Q42" s="135">
        <v>0.7</v>
      </c>
      <c r="R42" s="135">
        <v>1</v>
      </c>
      <c r="S42" s="135">
        <v>2</v>
      </c>
      <c r="T42" s="135">
        <v>16</v>
      </c>
      <c r="U42" s="135">
        <f>23.16*38.5</f>
        <v>891.66</v>
      </c>
      <c r="V42" s="149">
        <v>777</v>
      </c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</row>
    <row r="43" spans="2:40" s="140" customFormat="1" ht="20.100000000000001" customHeight="1" x14ac:dyDescent="0.55000000000000004">
      <c r="B43" s="314"/>
      <c r="C43" s="396" t="s">
        <v>252</v>
      </c>
      <c r="D43" s="397"/>
      <c r="E43" s="268">
        <v>71.5</v>
      </c>
      <c r="F43" s="256" t="s">
        <v>56</v>
      </c>
      <c r="G43" s="269">
        <v>2186</v>
      </c>
      <c r="H43" s="251">
        <f t="shared" si="7"/>
        <v>156299</v>
      </c>
      <c r="I43" s="252">
        <v>419</v>
      </c>
      <c r="J43" s="253">
        <f t="shared" si="8"/>
        <v>29958.5</v>
      </c>
      <c r="K43" s="254">
        <f t="shared" si="9"/>
        <v>186257.5</v>
      </c>
      <c r="L43" s="270"/>
      <c r="M43" s="144">
        <v>75</v>
      </c>
      <c r="N43" s="187">
        <v>1.05</v>
      </c>
      <c r="O43" s="133"/>
      <c r="P43" s="145"/>
      <c r="Q43" s="135"/>
      <c r="R43" s="135"/>
      <c r="S43" s="135"/>
      <c r="T43" s="135"/>
      <c r="U43" s="135"/>
      <c r="V43" s="149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</row>
    <row r="44" spans="2:40" s="140" customFormat="1" ht="20.100000000000001" customHeight="1" x14ac:dyDescent="0.55000000000000004">
      <c r="B44" s="314"/>
      <c r="C44" s="396" t="s">
        <v>317</v>
      </c>
      <c r="D44" s="397"/>
      <c r="E44" s="268">
        <v>80.5</v>
      </c>
      <c r="F44" s="256" t="s">
        <v>56</v>
      </c>
      <c r="G44" s="269">
        <v>2252</v>
      </c>
      <c r="H44" s="251">
        <f t="shared" si="7"/>
        <v>181286</v>
      </c>
      <c r="I44" s="252">
        <v>419</v>
      </c>
      <c r="J44" s="253">
        <f t="shared" si="8"/>
        <v>33729.5</v>
      </c>
      <c r="K44" s="254">
        <f t="shared" si="9"/>
        <v>215015.5</v>
      </c>
      <c r="L44" s="270"/>
      <c r="M44" s="144">
        <v>78</v>
      </c>
      <c r="N44" s="187">
        <v>1.05</v>
      </c>
      <c r="O44" s="133" t="s">
        <v>72</v>
      </c>
      <c r="P44" s="133" t="s">
        <v>73</v>
      </c>
      <c r="Q44" s="135">
        <v>0.7</v>
      </c>
      <c r="R44" s="135">
        <v>1</v>
      </c>
      <c r="S44" s="135">
        <v>2</v>
      </c>
      <c r="T44" s="135">
        <v>16</v>
      </c>
      <c r="U44" s="434" t="s">
        <v>69</v>
      </c>
      <c r="V44" s="434"/>
      <c r="W44" s="434"/>
      <c r="X44" s="434"/>
      <c r="Y44" s="146" t="s">
        <v>68</v>
      </c>
      <c r="Z44" s="146" t="s">
        <v>67</v>
      </c>
      <c r="AA44" s="146" t="s">
        <v>66</v>
      </c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</row>
    <row r="45" spans="2:40" s="140" customFormat="1" ht="20.100000000000001" customHeight="1" x14ac:dyDescent="0.55000000000000004">
      <c r="B45" s="314"/>
      <c r="C45" s="396" t="s">
        <v>253</v>
      </c>
      <c r="D45" s="397"/>
      <c r="E45" s="268">
        <v>1</v>
      </c>
      <c r="F45" s="256" t="s">
        <v>254</v>
      </c>
      <c r="G45" s="269">
        <v>1500</v>
      </c>
      <c r="H45" s="251">
        <f t="shared" si="7"/>
        <v>1500</v>
      </c>
      <c r="I45" s="252">
        <v>1000</v>
      </c>
      <c r="J45" s="253">
        <f t="shared" si="8"/>
        <v>1000</v>
      </c>
      <c r="K45" s="254">
        <f t="shared" si="9"/>
        <v>2500</v>
      </c>
      <c r="L45" s="270"/>
      <c r="M45" s="144"/>
      <c r="N45" s="187"/>
      <c r="O45" s="133" t="s">
        <v>77</v>
      </c>
      <c r="P45" s="145" t="s">
        <v>77</v>
      </c>
      <c r="Q45" s="135">
        <v>0.7</v>
      </c>
      <c r="R45" s="135">
        <v>1</v>
      </c>
      <c r="S45" s="135">
        <v>2</v>
      </c>
      <c r="T45" s="135">
        <v>16</v>
      </c>
      <c r="U45" s="135"/>
      <c r="V45" s="135">
        <f>10*(Q45+S45)*2*T45</f>
        <v>864</v>
      </c>
      <c r="W45" s="135"/>
      <c r="X45" s="135"/>
      <c r="Y45" s="147">
        <f>(SUM(U45:X45)/10)</f>
        <v>86.4</v>
      </c>
      <c r="Z45" s="147">
        <f>ROUND(Y45*1.07,0)</f>
        <v>92</v>
      </c>
      <c r="AA45" s="148">
        <f>+Z45*4.99</f>
        <v>459.08000000000004</v>
      </c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</row>
    <row r="46" spans="2:40" s="140" customFormat="1" ht="20.100000000000001" customHeight="1" x14ac:dyDescent="0.55000000000000004">
      <c r="B46" s="314"/>
      <c r="C46" s="249" t="s">
        <v>333</v>
      </c>
      <c r="D46" s="250"/>
      <c r="E46" s="268">
        <v>385</v>
      </c>
      <c r="F46" s="256" t="s">
        <v>22</v>
      </c>
      <c r="G46" s="269">
        <v>15</v>
      </c>
      <c r="H46" s="251">
        <f t="shared" si="7"/>
        <v>5775</v>
      </c>
      <c r="I46" s="252">
        <v>10</v>
      </c>
      <c r="J46" s="253">
        <f t="shared" si="8"/>
        <v>3850</v>
      </c>
      <c r="K46" s="254">
        <f t="shared" si="9"/>
        <v>9625</v>
      </c>
      <c r="L46" s="270"/>
      <c r="M46" s="144"/>
      <c r="N46" s="187"/>
      <c r="O46" s="133"/>
      <c r="P46" s="145"/>
      <c r="Q46" s="135"/>
      <c r="R46" s="135"/>
      <c r="S46" s="135"/>
      <c r="T46" s="138"/>
      <c r="U46" s="138"/>
      <c r="V46" s="138"/>
      <c r="W46" s="138"/>
      <c r="X46" s="138"/>
      <c r="Y46" s="162"/>
      <c r="Z46" s="162"/>
      <c r="AA46" s="16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</row>
    <row r="47" spans="2:40" ht="20.100000000000001" customHeight="1" x14ac:dyDescent="0.55000000000000004">
      <c r="B47" s="315">
        <v>2.9</v>
      </c>
      <c r="C47" s="275" t="s">
        <v>255</v>
      </c>
      <c r="D47" s="276"/>
      <c r="E47" s="268"/>
      <c r="F47" s="273"/>
      <c r="G47" s="269"/>
      <c r="H47" s="251"/>
      <c r="I47" s="252"/>
      <c r="J47" s="253"/>
      <c r="K47" s="254"/>
      <c r="L47" s="270"/>
      <c r="M47" s="144"/>
      <c r="N47" s="186">
        <v>1.05</v>
      </c>
      <c r="O47" s="129"/>
      <c r="P47" s="150"/>
      <c r="Q47" s="438" t="s">
        <v>90</v>
      </c>
      <c r="R47" s="438"/>
      <c r="S47" s="438"/>
      <c r="T47" s="125"/>
      <c r="U47" s="125" t="s">
        <v>228</v>
      </c>
      <c r="V47" s="125" t="s">
        <v>229</v>
      </c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</row>
    <row r="48" spans="2:40" ht="20.100000000000001" customHeight="1" x14ac:dyDescent="0.55000000000000004">
      <c r="B48" s="274" t="s">
        <v>233</v>
      </c>
      <c r="C48" s="432" t="s">
        <v>358</v>
      </c>
      <c r="D48" s="433"/>
      <c r="E48" s="268">
        <f>+M48*N48</f>
        <v>402.73200000000003</v>
      </c>
      <c r="F48" s="273" t="s">
        <v>60</v>
      </c>
      <c r="G48" s="269">
        <v>26</v>
      </c>
      <c r="H48" s="251">
        <f t="shared" si="7"/>
        <v>10471.032000000001</v>
      </c>
      <c r="I48" s="252">
        <v>12</v>
      </c>
      <c r="J48" s="253">
        <f t="shared" si="8"/>
        <v>4832.7840000000006</v>
      </c>
      <c r="K48" s="254">
        <f t="shared" si="9"/>
        <v>15303.816000000003</v>
      </c>
      <c r="L48" s="270"/>
      <c r="M48" s="144">
        <v>366.12</v>
      </c>
      <c r="N48" s="186">
        <v>1.1000000000000001</v>
      </c>
      <c r="O48" s="129">
        <f>1.8*8</f>
        <v>14.4</v>
      </c>
      <c r="P48" s="150">
        <v>30000</v>
      </c>
      <c r="Q48" s="407">
        <f>(0.4+0.2+0.2)*2*E48*6</f>
        <v>3866.2272000000003</v>
      </c>
      <c r="R48" s="407"/>
      <c r="S48" s="407"/>
      <c r="T48" s="125"/>
      <c r="U48" s="125">
        <v>399.3</v>
      </c>
      <c r="V48" s="125">
        <v>80</v>
      </c>
      <c r="W48" s="136">
        <f>+P48+U48+V48</f>
        <v>30479.3</v>
      </c>
      <c r="X48" s="125">
        <f>+W48/1000</f>
        <v>30.479299999999999</v>
      </c>
      <c r="Y48" s="439">
        <f>66*6*(30+1)</f>
        <v>12276</v>
      </c>
      <c r="Z48" s="439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</row>
    <row r="49" spans="2:40" ht="20.100000000000001" customHeight="1" x14ac:dyDescent="0.55000000000000004">
      <c r="B49" s="274"/>
      <c r="C49" s="432" t="s">
        <v>360</v>
      </c>
      <c r="D49" s="433"/>
      <c r="E49" s="268">
        <f t="shared" ref="E49:E57" si="11">+M49*N49</f>
        <v>387.81600000000003</v>
      </c>
      <c r="F49" s="273" t="s">
        <v>60</v>
      </c>
      <c r="G49" s="269">
        <v>26</v>
      </c>
      <c r="H49" s="251">
        <f t="shared" si="7"/>
        <v>10083.216</v>
      </c>
      <c r="I49" s="252">
        <v>12</v>
      </c>
      <c r="J49" s="253">
        <f t="shared" si="8"/>
        <v>4653.7920000000004</v>
      </c>
      <c r="K49" s="254">
        <f t="shared" si="9"/>
        <v>14737.008000000002</v>
      </c>
      <c r="L49" s="270"/>
      <c r="M49" s="144">
        <v>352.56</v>
      </c>
      <c r="N49" s="186">
        <v>1.1000000000000001</v>
      </c>
      <c r="O49" s="129"/>
      <c r="P49" s="150"/>
      <c r="Q49" s="407">
        <f>(0.7+0.3+0.3)*2*E49*6</f>
        <v>6049.9296000000004</v>
      </c>
      <c r="R49" s="407"/>
      <c r="S49" s="407"/>
      <c r="T49" s="125"/>
      <c r="W49" s="136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</row>
    <row r="50" spans="2:40" ht="20.100000000000001" customHeight="1" x14ac:dyDescent="0.55000000000000004">
      <c r="B50" s="274"/>
      <c r="C50" s="432" t="s">
        <v>359</v>
      </c>
      <c r="D50" s="433"/>
      <c r="E50" s="268">
        <f t="shared" si="11"/>
        <v>104.28</v>
      </c>
      <c r="F50" s="273" t="s">
        <v>60</v>
      </c>
      <c r="G50" s="269">
        <v>26</v>
      </c>
      <c r="H50" s="251">
        <f t="shared" si="7"/>
        <v>2711.28</v>
      </c>
      <c r="I50" s="252">
        <v>12</v>
      </c>
      <c r="J50" s="253">
        <f t="shared" si="8"/>
        <v>1251.3600000000001</v>
      </c>
      <c r="K50" s="254">
        <f t="shared" si="9"/>
        <v>3962.6400000000003</v>
      </c>
      <c r="L50" s="270"/>
      <c r="M50" s="144">
        <v>94.8</v>
      </c>
      <c r="N50" s="186">
        <v>1.1000000000000001</v>
      </c>
      <c r="O50" s="129"/>
      <c r="P50" s="150"/>
      <c r="Q50" s="407">
        <f>(0.04+0.04)*2*E50*6</f>
        <v>100.1088</v>
      </c>
      <c r="R50" s="407"/>
      <c r="S50" s="407"/>
      <c r="T50" s="151"/>
      <c r="W50" s="136"/>
    </row>
    <row r="51" spans="2:40" ht="20.100000000000001" customHeight="1" x14ac:dyDescent="0.55000000000000004">
      <c r="B51" s="274"/>
      <c r="C51" s="398" t="s">
        <v>256</v>
      </c>
      <c r="D51" s="406"/>
      <c r="E51" s="268">
        <f t="shared" si="11"/>
        <v>757.74600000000009</v>
      </c>
      <c r="F51" s="273" t="s">
        <v>60</v>
      </c>
      <c r="G51" s="269">
        <v>27</v>
      </c>
      <c r="H51" s="251">
        <f t="shared" si="7"/>
        <v>20459.142000000003</v>
      </c>
      <c r="I51" s="252">
        <v>25</v>
      </c>
      <c r="J51" s="253">
        <f t="shared" si="8"/>
        <v>18943.650000000001</v>
      </c>
      <c r="K51" s="254">
        <f t="shared" si="9"/>
        <v>39402.792000000001</v>
      </c>
      <c r="L51" s="270"/>
      <c r="M51" s="144">
        <v>688.86</v>
      </c>
      <c r="N51" s="186">
        <v>1.1000000000000001</v>
      </c>
      <c r="O51" s="129"/>
      <c r="P51" s="150"/>
      <c r="Q51" s="407">
        <f>(0.065+0.065)*2*E51*6</f>
        <v>1182.0837600000002</v>
      </c>
      <c r="R51" s="407"/>
      <c r="S51" s="407"/>
      <c r="T51" s="151"/>
      <c r="W51" s="136"/>
    </row>
    <row r="52" spans="2:40" ht="20.100000000000001" customHeight="1" x14ac:dyDescent="0.55000000000000004">
      <c r="B52" s="274"/>
      <c r="C52" s="398" t="s">
        <v>257</v>
      </c>
      <c r="D52" s="406"/>
      <c r="E52" s="268">
        <f t="shared" si="11"/>
        <v>85.536000000000016</v>
      </c>
      <c r="F52" s="273" t="s">
        <v>60</v>
      </c>
      <c r="G52" s="269">
        <v>27</v>
      </c>
      <c r="H52" s="251">
        <f t="shared" si="7"/>
        <v>2309.4720000000002</v>
      </c>
      <c r="I52" s="252">
        <v>12</v>
      </c>
      <c r="J52" s="253">
        <f t="shared" si="8"/>
        <v>1026.4320000000002</v>
      </c>
      <c r="K52" s="254">
        <f t="shared" si="9"/>
        <v>3335.9040000000005</v>
      </c>
      <c r="L52" s="270"/>
      <c r="M52" s="144">
        <v>77.760000000000005</v>
      </c>
      <c r="N52" s="186">
        <v>1.1000000000000001</v>
      </c>
      <c r="O52" s="129"/>
      <c r="P52" s="150"/>
      <c r="Q52" s="407">
        <f>(0.13+0.13)*2*E52*6</f>
        <v>266.87232000000006</v>
      </c>
      <c r="R52" s="407"/>
      <c r="S52" s="407"/>
      <c r="T52" s="151"/>
      <c r="W52" s="136"/>
    </row>
    <row r="53" spans="2:40" ht="20.100000000000001" customHeight="1" x14ac:dyDescent="0.55000000000000004">
      <c r="B53" s="274"/>
      <c r="C53" s="398" t="s">
        <v>258</v>
      </c>
      <c r="D53" s="406"/>
      <c r="E53" s="268">
        <f t="shared" si="11"/>
        <v>8.0520000000000014</v>
      </c>
      <c r="F53" s="273" t="s">
        <v>60</v>
      </c>
      <c r="G53" s="269">
        <v>27</v>
      </c>
      <c r="H53" s="251">
        <f t="shared" si="7"/>
        <v>217.40400000000002</v>
      </c>
      <c r="I53" s="252">
        <v>12</v>
      </c>
      <c r="J53" s="253">
        <f t="shared" si="8"/>
        <v>96.624000000000024</v>
      </c>
      <c r="K53" s="254">
        <f t="shared" si="9"/>
        <v>314.02800000000002</v>
      </c>
      <c r="L53" s="277"/>
      <c r="M53" s="144">
        <v>7.32</v>
      </c>
      <c r="N53" s="186">
        <v>1.1000000000000001</v>
      </c>
      <c r="O53" s="129" t="s">
        <v>133</v>
      </c>
      <c r="P53" s="150"/>
      <c r="Q53" s="151"/>
      <c r="R53" s="151"/>
      <c r="S53" s="151"/>
      <c r="T53" s="151"/>
    </row>
    <row r="54" spans="2:40" ht="20.100000000000001" customHeight="1" x14ac:dyDescent="0.55000000000000004">
      <c r="B54" s="274"/>
      <c r="C54" s="398" t="s">
        <v>259</v>
      </c>
      <c r="D54" s="406"/>
      <c r="E54" s="268">
        <f t="shared" si="11"/>
        <v>41.118000000000002</v>
      </c>
      <c r="F54" s="273" t="s">
        <v>60</v>
      </c>
      <c r="G54" s="269">
        <v>27</v>
      </c>
      <c r="H54" s="251">
        <f t="shared" si="7"/>
        <v>1110.1860000000001</v>
      </c>
      <c r="I54" s="252">
        <v>12</v>
      </c>
      <c r="J54" s="253">
        <f t="shared" si="8"/>
        <v>493.41600000000005</v>
      </c>
      <c r="K54" s="254">
        <f t="shared" si="9"/>
        <v>1603.6020000000003</v>
      </c>
      <c r="L54" s="270"/>
      <c r="M54" s="144">
        <v>20.559000000000001</v>
      </c>
      <c r="N54" s="186">
        <v>2</v>
      </c>
      <c r="O54" s="129" t="s">
        <v>99</v>
      </c>
      <c r="P54" s="150" t="s">
        <v>100</v>
      </c>
      <c r="Q54" s="151"/>
      <c r="R54" s="151"/>
      <c r="S54" s="151"/>
      <c r="T54" s="151"/>
    </row>
    <row r="55" spans="2:40" ht="20.100000000000001" customHeight="1" x14ac:dyDescent="0.55000000000000004">
      <c r="B55" s="274"/>
      <c r="C55" s="398" t="s">
        <v>260</v>
      </c>
      <c r="D55" s="406"/>
      <c r="E55" s="268">
        <f t="shared" si="11"/>
        <v>7.0960000000000001</v>
      </c>
      <c r="F55" s="273" t="s">
        <v>60</v>
      </c>
      <c r="G55" s="269">
        <v>27</v>
      </c>
      <c r="H55" s="251">
        <f t="shared" si="7"/>
        <v>191.59200000000001</v>
      </c>
      <c r="I55" s="252">
        <v>12</v>
      </c>
      <c r="J55" s="253">
        <f t="shared" si="8"/>
        <v>85.152000000000001</v>
      </c>
      <c r="K55" s="254">
        <f t="shared" si="9"/>
        <v>276.74400000000003</v>
      </c>
      <c r="L55" s="270"/>
      <c r="M55" s="144">
        <v>3.548</v>
      </c>
      <c r="N55" s="186">
        <v>2</v>
      </c>
      <c r="O55" s="129"/>
      <c r="P55" s="150"/>
      <c r="Q55" s="152" t="s">
        <v>95</v>
      </c>
      <c r="R55" s="408" t="s">
        <v>97</v>
      </c>
      <c r="S55" s="408"/>
      <c r="T55" s="152"/>
      <c r="U55" s="153">
        <f>31*350</f>
        <v>10850</v>
      </c>
      <c r="V55" s="153">
        <f>8.5*350</f>
        <v>2975</v>
      </c>
      <c r="W55" s="154">
        <f>+U55/AC55</f>
        <v>136.86143908746149</v>
      </c>
      <c r="X55" s="155">
        <f>+V55/AC55</f>
        <v>37.526523620755569</v>
      </c>
      <c r="Y55" s="156">
        <v>1219.2</v>
      </c>
      <c r="Z55" s="156">
        <v>2438.4</v>
      </c>
      <c r="AA55" s="153">
        <f>+Y55*Z55</f>
        <v>2972897.2800000003</v>
      </c>
      <c r="AB55" s="153">
        <f>250*150</f>
        <v>37500</v>
      </c>
      <c r="AC55" s="153">
        <f>+AA55/AB55</f>
        <v>79.277260800000008</v>
      </c>
    </row>
    <row r="56" spans="2:40" ht="20.100000000000001" customHeight="1" x14ac:dyDescent="0.55000000000000004">
      <c r="B56" s="274"/>
      <c r="C56" s="398" t="s">
        <v>262</v>
      </c>
      <c r="D56" s="406"/>
      <c r="E56" s="268">
        <f t="shared" si="11"/>
        <v>466.8</v>
      </c>
      <c r="F56" s="273" t="s">
        <v>60</v>
      </c>
      <c r="G56" s="269">
        <v>27</v>
      </c>
      <c r="H56" s="251">
        <f t="shared" si="7"/>
        <v>12603.6</v>
      </c>
      <c r="I56" s="252">
        <v>12</v>
      </c>
      <c r="J56" s="253">
        <f t="shared" si="8"/>
        <v>5601.6</v>
      </c>
      <c r="K56" s="254">
        <f t="shared" si="9"/>
        <v>18205.2</v>
      </c>
      <c r="L56" s="270"/>
      <c r="M56" s="144">
        <v>233.4</v>
      </c>
      <c r="N56" s="186">
        <v>2</v>
      </c>
      <c r="O56" s="129"/>
      <c r="P56" s="150"/>
      <c r="Q56" s="152" t="s">
        <v>95</v>
      </c>
      <c r="R56" s="408" t="s">
        <v>97</v>
      </c>
      <c r="S56" s="408"/>
      <c r="T56" s="152"/>
      <c r="U56" s="153">
        <f>31*350</f>
        <v>10850</v>
      </c>
      <c r="V56" s="153">
        <f>350*8.5</f>
        <v>2975</v>
      </c>
      <c r="W56" s="154">
        <f>+U56/AC56</f>
        <v>383.21202944489221</v>
      </c>
      <c r="X56" s="157">
        <f>+V56/AC56</f>
        <v>105.0742661381156</v>
      </c>
      <c r="Y56" s="156">
        <v>1219.2</v>
      </c>
      <c r="Z56" s="156">
        <v>2438.4</v>
      </c>
      <c r="AA56" s="153">
        <f>+Y56*Z56</f>
        <v>2972897.2800000003</v>
      </c>
      <c r="AB56" s="153">
        <f>700*150</f>
        <v>105000</v>
      </c>
      <c r="AC56" s="153">
        <f>+AA56/AB56</f>
        <v>28.313307428571431</v>
      </c>
    </row>
    <row r="57" spans="2:40" ht="20.100000000000001" customHeight="1" x14ac:dyDescent="0.55000000000000004">
      <c r="B57" s="274"/>
      <c r="C57" s="398" t="s">
        <v>263</v>
      </c>
      <c r="D57" s="399"/>
      <c r="E57" s="268">
        <f t="shared" si="11"/>
        <v>420</v>
      </c>
      <c r="F57" s="273" t="s">
        <v>60</v>
      </c>
      <c r="G57" s="269">
        <v>27</v>
      </c>
      <c r="H57" s="251">
        <f t="shared" si="7"/>
        <v>11340</v>
      </c>
      <c r="I57" s="252">
        <v>12</v>
      </c>
      <c r="J57" s="253">
        <f t="shared" si="8"/>
        <v>5040</v>
      </c>
      <c r="K57" s="254">
        <f t="shared" si="9"/>
        <v>16380</v>
      </c>
      <c r="L57" s="270"/>
      <c r="M57" s="144">
        <v>210</v>
      </c>
      <c r="N57" s="186">
        <v>2</v>
      </c>
      <c r="O57" s="129"/>
      <c r="P57" s="150"/>
      <c r="Q57" s="152" t="s">
        <v>98</v>
      </c>
      <c r="R57" s="408" t="s">
        <v>96</v>
      </c>
      <c r="S57" s="408"/>
      <c r="T57" s="152"/>
      <c r="U57" s="153">
        <f>31*467</f>
        <v>14477</v>
      </c>
      <c r="V57" s="153">
        <f>467*8.5</f>
        <v>3969.5</v>
      </c>
      <c r="W57" s="154">
        <f>+U57/AC57</f>
        <v>1460.8981040878748</v>
      </c>
      <c r="X57" s="157">
        <f>+V57/AC57</f>
        <v>400.56883499183664</v>
      </c>
      <c r="Y57" s="156">
        <v>1219.2</v>
      </c>
      <c r="Z57" s="156">
        <v>2438.4</v>
      </c>
      <c r="AA57" s="153">
        <f>+Y57*Z57</f>
        <v>2972897.2800000003</v>
      </c>
      <c r="AB57" s="153">
        <f>600*500</f>
        <v>300000</v>
      </c>
      <c r="AC57" s="153">
        <f>+AA57/AB57</f>
        <v>9.909657600000001</v>
      </c>
    </row>
    <row r="58" spans="2:40" ht="20.100000000000001" customHeight="1" x14ac:dyDescent="0.55000000000000004">
      <c r="B58" s="274"/>
      <c r="C58" s="398" t="s">
        <v>361</v>
      </c>
      <c r="D58" s="399"/>
      <c r="E58" s="268">
        <v>104</v>
      </c>
      <c r="F58" s="256" t="s">
        <v>31</v>
      </c>
      <c r="G58" s="269">
        <v>58</v>
      </c>
      <c r="H58" s="251">
        <f t="shared" si="7"/>
        <v>6032</v>
      </c>
      <c r="I58" s="252">
        <v>90</v>
      </c>
      <c r="J58" s="253">
        <f t="shared" si="8"/>
        <v>9360</v>
      </c>
      <c r="K58" s="254">
        <f t="shared" si="9"/>
        <v>15392</v>
      </c>
      <c r="L58" s="270"/>
      <c r="M58" s="144">
        <v>104</v>
      </c>
      <c r="N58" s="186">
        <v>1.05</v>
      </c>
      <c r="O58" s="129"/>
      <c r="P58" s="150"/>
      <c r="Q58" s="152" t="s">
        <v>98</v>
      </c>
      <c r="R58" s="408" t="s">
        <v>96</v>
      </c>
      <c r="S58" s="408"/>
      <c r="T58" s="152"/>
      <c r="U58" s="153">
        <f>31*467</f>
        <v>14477</v>
      </c>
      <c r="V58" s="153">
        <f>467*8.5</f>
        <v>3969.5</v>
      </c>
      <c r="W58" s="154">
        <f>+U58/AC58</f>
        <v>1704.3811214358539</v>
      </c>
      <c r="X58" s="157">
        <f>+V58/AC58</f>
        <v>467.33030749047606</v>
      </c>
      <c r="Y58" s="156">
        <v>1219.2</v>
      </c>
      <c r="Z58" s="156">
        <v>2438.4</v>
      </c>
      <c r="AA58" s="153">
        <f>+Y58*Z58</f>
        <v>2972897.2800000003</v>
      </c>
      <c r="AB58" s="153">
        <f>700*500</f>
        <v>350000</v>
      </c>
      <c r="AC58" s="153">
        <f>+AA58/AB58</f>
        <v>8.4939922285714289</v>
      </c>
    </row>
    <row r="59" spans="2:40" ht="20.100000000000001" customHeight="1" x14ac:dyDescent="0.55000000000000004">
      <c r="B59" s="274"/>
      <c r="C59" s="394" t="s">
        <v>362</v>
      </c>
      <c r="D59" s="395"/>
      <c r="E59" s="268">
        <v>20</v>
      </c>
      <c r="F59" s="256" t="s">
        <v>31</v>
      </c>
      <c r="G59" s="257">
        <v>450</v>
      </c>
      <c r="H59" s="251">
        <f t="shared" si="7"/>
        <v>9000</v>
      </c>
      <c r="I59" s="252">
        <v>150</v>
      </c>
      <c r="J59" s="253">
        <f t="shared" si="8"/>
        <v>3000</v>
      </c>
      <c r="K59" s="254">
        <f t="shared" si="9"/>
        <v>12000</v>
      </c>
      <c r="L59" s="280"/>
      <c r="M59" s="144">
        <v>20</v>
      </c>
      <c r="N59" s="186">
        <v>1.05</v>
      </c>
      <c r="O59" s="129"/>
      <c r="P59" s="150"/>
      <c r="Q59" s="151"/>
      <c r="R59" s="151"/>
      <c r="S59" s="151"/>
      <c r="T59" s="151"/>
    </row>
    <row r="60" spans="2:40" ht="20.100000000000001" customHeight="1" x14ac:dyDescent="0.55000000000000004">
      <c r="B60" s="281" t="s">
        <v>233</v>
      </c>
      <c r="C60" s="398" t="s">
        <v>363</v>
      </c>
      <c r="D60" s="406"/>
      <c r="E60" s="268">
        <v>56</v>
      </c>
      <c r="F60" s="256" t="s">
        <v>31</v>
      </c>
      <c r="G60" s="257">
        <v>125</v>
      </c>
      <c r="H60" s="251">
        <f t="shared" si="7"/>
        <v>7000</v>
      </c>
      <c r="I60" s="252">
        <v>25</v>
      </c>
      <c r="J60" s="253">
        <f t="shared" si="8"/>
        <v>1400</v>
      </c>
      <c r="K60" s="254">
        <f t="shared" si="9"/>
        <v>8400</v>
      </c>
      <c r="L60" s="282"/>
      <c r="M60" s="144">
        <v>56</v>
      </c>
      <c r="N60" s="186">
        <v>1.05</v>
      </c>
      <c r="O60" s="129"/>
      <c r="P60" s="150"/>
      <c r="Q60" s="151"/>
      <c r="R60" s="151"/>
      <c r="S60" s="151"/>
      <c r="T60" s="151"/>
      <c r="AJ60" s="151"/>
    </row>
    <row r="61" spans="2:40" ht="20.100000000000001" customHeight="1" x14ac:dyDescent="0.55000000000000004">
      <c r="B61" s="274"/>
      <c r="C61" s="440" t="s">
        <v>264</v>
      </c>
      <c r="D61" s="412"/>
      <c r="E61" s="284">
        <v>174.36</v>
      </c>
      <c r="F61" s="285" t="s">
        <v>22</v>
      </c>
      <c r="G61" s="286">
        <v>58</v>
      </c>
      <c r="H61" s="251">
        <f t="shared" si="7"/>
        <v>10112.880000000001</v>
      </c>
      <c r="I61" s="252">
        <v>35</v>
      </c>
      <c r="J61" s="253">
        <f t="shared" si="8"/>
        <v>6102.6</v>
      </c>
      <c r="K61" s="254">
        <f t="shared" si="9"/>
        <v>16215.480000000001</v>
      </c>
      <c r="L61" s="287"/>
      <c r="M61" s="158">
        <v>174.36</v>
      </c>
      <c r="N61" s="186"/>
      <c r="O61" s="409" t="s">
        <v>120</v>
      </c>
      <c r="P61" s="410"/>
      <c r="Q61" s="151"/>
      <c r="R61" s="151"/>
      <c r="S61" s="151"/>
      <c r="T61" s="151"/>
    </row>
    <row r="62" spans="2:40" ht="20.100000000000001" customHeight="1" x14ac:dyDescent="0.55000000000000004">
      <c r="B62" s="331">
        <v>2.1</v>
      </c>
      <c r="C62" s="398" t="s">
        <v>265</v>
      </c>
      <c r="D62" s="406"/>
      <c r="E62" s="268"/>
      <c r="F62" s="256"/>
      <c r="G62" s="257"/>
      <c r="H62" s="251"/>
      <c r="I62" s="252"/>
      <c r="J62" s="253"/>
      <c r="K62" s="254"/>
      <c r="L62" s="280"/>
      <c r="M62" s="144"/>
      <c r="N62" s="186">
        <v>1.05</v>
      </c>
      <c r="O62" s="126"/>
      <c r="P62" s="126"/>
      <c r="Q62" s="151"/>
      <c r="R62" s="151"/>
      <c r="S62" s="151"/>
      <c r="T62" s="151"/>
    </row>
    <row r="63" spans="2:40" ht="20.100000000000001" customHeight="1" x14ac:dyDescent="0.55000000000000004">
      <c r="B63" s="288" t="s">
        <v>233</v>
      </c>
      <c r="C63" s="398" t="s">
        <v>364</v>
      </c>
      <c r="D63" s="399"/>
      <c r="E63" s="268">
        <v>48</v>
      </c>
      <c r="F63" s="256" t="s">
        <v>31</v>
      </c>
      <c r="G63" s="257">
        <v>58</v>
      </c>
      <c r="H63" s="251">
        <f t="shared" si="7"/>
        <v>2784</v>
      </c>
      <c r="I63" s="252">
        <v>90</v>
      </c>
      <c r="J63" s="253">
        <f t="shared" si="8"/>
        <v>4320</v>
      </c>
      <c r="K63" s="254">
        <f t="shared" si="9"/>
        <v>7104</v>
      </c>
      <c r="L63" s="280"/>
      <c r="M63" s="144">
        <v>48</v>
      </c>
      <c r="N63" s="186">
        <v>1.05</v>
      </c>
      <c r="O63" s="126"/>
      <c r="P63" s="126"/>
      <c r="Q63" s="151"/>
      <c r="R63" s="151"/>
      <c r="S63" s="151"/>
      <c r="T63" s="151"/>
    </row>
    <row r="64" spans="2:40" ht="20.100000000000001" customHeight="1" x14ac:dyDescent="0.55000000000000004">
      <c r="B64" s="288" t="s">
        <v>233</v>
      </c>
      <c r="C64" s="398" t="s">
        <v>266</v>
      </c>
      <c r="D64" s="406"/>
      <c r="E64" s="268">
        <f t="shared" ref="E64" si="12">+M64*N64</f>
        <v>218.8</v>
      </c>
      <c r="F64" s="256" t="s">
        <v>60</v>
      </c>
      <c r="G64" s="257">
        <v>60</v>
      </c>
      <c r="H64" s="251">
        <f t="shared" si="7"/>
        <v>13128</v>
      </c>
      <c r="I64" s="252">
        <v>12</v>
      </c>
      <c r="J64" s="253">
        <f t="shared" si="8"/>
        <v>2625.6000000000004</v>
      </c>
      <c r="K64" s="254">
        <f t="shared" si="9"/>
        <v>15753.6</v>
      </c>
      <c r="L64" s="280"/>
      <c r="M64" s="144">
        <v>109.4</v>
      </c>
      <c r="N64" s="186">
        <v>2</v>
      </c>
      <c r="O64" s="126"/>
      <c r="P64" s="126"/>
      <c r="Q64" s="151"/>
      <c r="R64" s="151"/>
      <c r="S64" s="151"/>
      <c r="T64" s="151"/>
    </row>
    <row r="65" spans="2:20" ht="20.100000000000001" customHeight="1" x14ac:dyDescent="0.55000000000000004">
      <c r="B65" s="288">
        <v>3</v>
      </c>
      <c r="C65" s="411" t="s">
        <v>267</v>
      </c>
      <c r="D65" s="412"/>
      <c r="E65" s="268"/>
      <c r="F65" s="256" t="s">
        <v>233</v>
      </c>
      <c r="G65" s="257"/>
      <c r="H65" s="251"/>
      <c r="I65" s="252"/>
      <c r="J65" s="253"/>
      <c r="K65" s="254"/>
      <c r="L65" s="280"/>
      <c r="M65" s="144"/>
      <c r="N65" s="186"/>
      <c r="O65" s="126"/>
      <c r="P65" s="126"/>
      <c r="Q65" s="151"/>
      <c r="R65" s="151"/>
      <c r="S65" s="151"/>
      <c r="T65" s="151"/>
    </row>
    <row r="66" spans="2:20" ht="20.100000000000001" customHeight="1" x14ac:dyDescent="0.55000000000000004">
      <c r="B66" s="316">
        <v>3.1</v>
      </c>
      <c r="C66" s="289" t="s">
        <v>279</v>
      </c>
      <c r="D66" s="283"/>
      <c r="E66" s="268"/>
      <c r="F66" s="256" t="s">
        <v>233</v>
      </c>
      <c r="G66" s="257"/>
      <c r="H66" s="251"/>
      <c r="I66" s="252"/>
      <c r="J66" s="253"/>
      <c r="K66" s="254"/>
      <c r="L66" s="280"/>
      <c r="M66" s="144">
        <v>138.5</v>
      </c>
      <c r="N66" s="186">
        <v>1.05</v>
      </c>
      <c r="O66" s="126"/>
      <c r="P66" s="126"/>
      <c r="Q66" s="151"/>
      <c r="R66" s="151"/>
      <c r="S66" s="151"/>
      <c r="T66" s="151"/>
    </row>
    <row r="67" spans="2:20" ht="20.100000000000001" customHeight="1" x14ac:dyDescent="0.55000000000000004">
      <c r="B67" s="316"/>
      <c r="C67" s="289" t="s">
        <v>336</v>
      </c>
      <c r="D67" s="283"/>
      <c r="E67" s="268">
        <v>128</v>
      </c>
      <c r="F67" s="256" t="s">
        <v>22</v>
      </c>
      <c r="G67" s="257">
        <v>223</v>
      </c>
      <c r="H67" s="251">
        <f t="shared" si="7"/>
        <v>28544</v>
      </c>
      <c r="I67" s="252">
        <v>91</v>
      </c>
      <c r="J67" s="253">
        <f t="shared" si="8"/>
        <v>11648</v>
      </c>
      <c r="K67" s="254">
        <f t="shared" si="9"/>
        <v>40192</v>
      </c>
      <c r="L67" s="280"/>
      <c r="M67" s="144">
        <f>+M66*2</f>
        <v>277</v>
      </c>
      <c r="N67" s="186">
        <v>1.05</v>
      </c>
      <c r="O67" s="126"/>
      <c r="P67" s="126"/>
      <c r="Q67" s="151"/>
      <c r="R67" s="151"/>
      <c r="S67" s="151"/>
      <c r="T67" s="151"/>
    </row>
    <row r="68" spans="2:20" ht="20.100000000000001" customHeight="1" x14ac:dyDescent="0.55000000000000004">
      <c r="B68" s="316"/>
      <c r="C68" s="289" t="s">
        <v>268</v>
      </c>
      <c r="D68" s="283"/>
      <c r="E68" s="268">
        <v>256</v>
      </c>
      <c r="F68" s="256" t="s">
        <v>22</v>
      </c>
      <c r="G68" s="257">
        <v>75</v>
      </c>
      <c r="H68" s="251">
        <f t="shared" si="7"/>
        <v>19200</v>
      </c>
      <c r="I68" s="252">
        <v>87</v>
      </c>
      <c r="J68" s="253">
        <f t="shared" si="8"/>
        <v>22272</v>
      </c>
      <c r="K68" s="254">
        <f t="shared" si="9"/>
        <v>41472</v>
      </c>
      <c r="L68" s="280"/>
      <c r="M68" s="144"/>
      <c r="N68" s="186"/>
      <c r="O68" s="126"/>
      <c r="P68" s="126"/>
      <c r="Q68" s="151"/>
      <c r="R68" s="151"/>
      <c r="S68" s="151"/>
      <c r="T68" s="151"/>
    </row>
    <row r="69" spans="2:20" ht="20.100000000000001" customHeight="1" x14ac:dyDescent="0.55000000000000004">
      <c r="B69" s="316">
        <v>3.2</v>
      </c>
      <c r="C69" s="394" t="s">
        <v>280</v>
      </c>
      <c r="D69" s="395"/>
      <c r="E69" s="268"/>
      <c r="F69" s="290"/>
      <c r="G69" s="257"/>
      <c r="H69" s="251" t="s">
        <v>233</v>
      </c>
      <c r="I69" s="252"/>
      <c r="J69" s="253" t="s">
        <v>233</v>
      </c>
      <c r="K69" s="254" t="s">
        <v>233</v>
      </c>
      <c r="L69" s="270"/>
      <c r="M69" s="144">
        <v>80.400000000000006</v>
      </c>
      <c r="N69" s="186">
        <v>1.05</v>
      </c>
      <c r="O69" s="129"/>
      <c r="P69" s="150"/>
      <c r="Q69" s="151"/>
      <c r="R69" s="151"/>
      <c r="S69" s="151"/>
      <c r="T69" s="151"/>
    </row>
    <row r="70" spans="2:20" ht="20.100000000000001" customHeight="1" x14ac:dyDescent="0.55000000000000004">
      <c r="B70" s="315"/>
      <c r="C70" s="394" t="s">
        <v>269</v>
      </c>
      <c r="D70" s="395"/>
      <c r="E70" s="268">
        <v>80.400000000000006</v>
      </c>
      <c r="F70" s="290" t="s">
        <v>22</v>
      </c>
      <c r="G70" s="257">
        <v>260</v>
      </c>
      <c r="H70" s="251">
        <f t="shared" si="7"/>
        <v>20904</v>
      </c>
      <c r="I70" s="252">
        <v>70</v>
      </c>
      <c r="J70" s="253">
        <f t="shared" si="8"/>
        <v>5628</v>
      </c>
      <c r="K70" s="254">
        <f t="shared" si="9"/>
        <v>26532</v>
      </c>
      <c r="L70" s="270"/>
      <c r="M70" s="144">
        <v>80.400000000000006</v>
      </c>
      <c r="N70" s="186">
        <v>1.05</v>
      </c>
      <c r="O70" s="129"/>
      <c r="P70" s="150"/>
      <c r="Q70" s="151"/>
      <c r="R70" s="151"/>
      <c r="S70" s="151"/>
      <c r="T70" s="151"/>
    </row>
    <row r="71" spans="2:20" ht="20.100000000000001" customHeight="1" x14ac:dyDescent="0.55000000000000004">
      <c r="B71" s="315"/>
      <c r="C71" s="398" t="s">
        <v>270</v>
      </c>
      <c r="D71" s="406"/>
      <c r="E71" s="268">
        <v>214.5</v>
      </c>
      <c r="F71" s="290" t="s">
        <v>60</v>
      </c>
      <c r="G71" s="257">
        <v>27</v>
      </c>
      <c r="H71" s="251">
        <f t="shared" si="7"/>
        <v>5791.5</v>
      </c>
      <c r="I71" s="252">
        <v>12</v>
      </c>
      <c r="J71" s="253">
        <f t="shared" si="8"/>
        <v>2574</v>
      </c>
      <c r="K71" s="254">
        <f t="shared" si="9"/>
        <v>8365.5</v>
      </c>
      <c r="L71" s="270"/>
      <c r="M71" s="144">
        <v>214.5</v>
      </c>
      <c r="N71" s="186">
        <v>1.05</v>
      </c>
      <c r="O71" s="129"/>
      <c r="P71" s="150"/>
      <c r="Q71" s="151"/>
      <c r="R71" s="151"/>
      <c r="S71" s="151"/>
      <c r="T71" s="151"/>
    </row>
    <row r="72" spans="2:20" ht="20.100000000000001" customHeight="1" x14ac:dyDescent="0.55000000000000004">
      <c r="B72" s="316"/>
      <c r="C72" s="398" t="s">
        <v>271</v>
      </c>
      <c r="D72" s="406"/>
      <c r="E72" s="268">
        <v>139.32</v>
      </c>
      <c r="F72" s="290" t="s">
        <v>60</v>
      </c>
      <c r="G72" s="257">
        <v>27</v>
      </c>
      <c r="H72" s="251">
        <f t="shared" si="7"/>
        <v>3761.64</v>
      </c>
      <c r="I72" s="252">
        <v>12</v>
      </c>
      <c r="J72" s="253">
        <f t="shared" si="8"/>
        <v>1671.84</v>
      </c>
      <c r="K72" s="254">
        <f t="shared" si="9"/>
        <v>5433.48</v>
      </c>
      <c r="L72" s="270"/>
      <c r="M72" s="144">
        <v>139.32</v>
      </c>
      <c r="N72" s="186">
        <v>1.05</v>
      </c>
      <c r="O72" s="129"/>
      <c r="P72" s="150"/>
      <c r="Q72" s="151"/>
      <c r="R72" s="151"/>
      <c r="S72" s="151"/>
      <c r="T72" s="151"/>
    </row>
    <row r="73" spans="2:20" ht="20.100000000000001" customHeight="1" x14ac:dyDescent="0.55000000000000004">
      <c r="B73" s="317"/>
      <c r="C73" s="394" t="s">
        <v>272</v>
      </c>
      <c r="D73" s="395"/>
      <c r="E73" s="268">
        <v>131.58000000000001</v>
      </c>
      <c r="F73" s="290" t="s">
        <v>60</v>
      </c>
      <c r="G73" s="257">
        <v>27</v>
      </c>
      <c r="H73" s="251">
        <f t="shared" si="7"/>
        <v>3552.6600000000003</v>
      </c>
      <c r="I73" s="252">
        <v>12</v>
      </c>
      <c r="J73" s="253">
        <f t="shared" si="8"/>
        <v>1578.96</v>
      </c>
      <c r="K73" s="254">
        <f t="shared" si="9"/>
        <v>5131.6200000000008</v>
      </c>
      <c r="L73" s="270"/>
      <c r="M73" s="144">
        <v>131.58000000000001</v>
      </c>
      <c r="N73" s="186">
        <v>1.05</v>
      </c>
      <c r="O73" s="129"/>
      <c r="P73" s="150"/>
      <c r="Q73" s="151"/>
      <c r="R73" s="151"/>
      <c r="S73" s="151"/>
      <c r="T73" s="151"/>
    </row>
    <row r="74" spans="2:20" ht="20.100000000000001" customHeight="1" x14ac:dyDescent="0.55000000000000004">
      <c r="B74" s="316"/>
      <c r="C74" s="398" t="s">
        <v>365</v>
      </c>
      <c r="D74" s="399"/>
      <c r="E74" s="268">
        <v>112</v>
      </c>
      <c r="F74" s="290" t="s">
        <v>274</v>
      </c>
      <c r="G74" s="257">
        <v>28</v>
      </c>
      <c r="H74" s="251">
        <f t="shared" si="7"/>
        <v>3136</v>
      </c>
      <c r="I74" s="252">
        <v>5</v>
      </c>
      <c r="J74" s="253">
        <f t="shared" si="8"/>
        <v>560</v>
      </c>
      <c r="K74" s="254">
        <f t="shared" si="9"/>
        <v>3696</v>
      </c>
      <c r="L74" s="270"/>
      <c r="M74" s="144">
        <v>112</v>
      </c>
      <c r="N74" s="186">
        <v>1.05</v>
      </c>
      <c r="O74" s="133" t="s">
        <v>122</v>
      </c>
      <c r="P74" s="145">
        <v>1800</v>
      </c>
      <c r="Q74" s="151"/>
      <c r="R74" s="151"/>
      <c r="S74" s="151"/>
      <c r="T74" s="151"/>
    </row>
    <row r="75" spans="2:20" ht="20.100000000000001" customHeight="1" x14ac:dyDescent="0.55000000000000004">
      <c r="B75" s="316"/>
      <c r="C75" s="398" t="s">
        <v>273</v>
      </c>
      <c r="D75" s="399"/>
      <c r="E75" s="268">
        <v>1100</v>
      </c>
      <c r="F75" s="290" t="s">
        <v>274</v>
      </c>
      <c r="G75" s="257">
        <v>3</v>
      </c>
      <c r="H75" s="251">
        <f t="shared" si="7"/>
        <v>3300</v>
      </c>
      <c r="I75" s="252">
        <v>3.5</v>
      </c>
      <c r="J75" s="253">
        <f t="shared" si="8"/>
        <v>3850</v>
      </c>
      <c r="K75" s="254">
        <f t="shared" si="9"/>
        <v>7150</v>
      </c>
      <c r="L75" s="270"/>
      <c r="M75" s="144">
        <v>1100</v>
      </c>
      <c r="N75" s="186">
        <v>1.05</v>
      </c>
      <c r="O75" s="441" t="s">
        <v>121</v>
      </c>
      <c r="P75" s="442"/>
      <c r="Q75" s="151"/>
      <c r="R75" s="151"/>
      <c r="S75" s="151"/>
      <c r="T75" s="151"/>
    </row>
    <row r="76" spans="2:20" ht="20.100000000000001" customHeight="1" x14ac:dyDescent="0.55000000000000004">
      <c r="B76" s="316"/>
      <c r="C76" s="398" t="s">
        <v>275</v>
      </c>
      <c r="D76" s="406"/>
      <c r="E76" s="268">
        <v>34.200000000000003</v>
      </c>
      <c r="F76" s="290" t="s">
        <v>60</v>
      </c>
      <c r="G76" s="257">
        <v>27</v>
      </c>
      <c r="H76" s="251">
        <f t="shared" si="7"/>
        <v>923.40000000000009</v>
      </c>
      <c r="I76" s="252">
        <v>12</v>
      </c>
      <c r="J76" s="253">
        <f t="shared" si="8"/>
        <v>410.40000000000003</v>
      </c>
      <c r="K76" s="254">
        <f t="shared" si="9"/>
        <v>1333.8000000000002</v>
      </c>
      <c r="L76" s="270"/>
      <c r="M76" s="144">
        <v>34.200000000000003</v>
      </c>
      <c r="N76" s="186">
        <v>1.05</v>
      </c>
      <c r="O76" s="441" t="s">
        <v>121</v>
      </c>
      <c r="P76" s="442"/>
      <c r="Q76" s="151"/>
      <c r="R76" s="151"/>
      <c r="S76" s="151"/>
      <c r="T76" s="151"/>
    </row>
    <row r="77" spans="2:20" ht="20.100000000000001" customHeight="1" x14ac:dyDescent="0.55000000000000004">
      <c r="B77" s="316"/>
      <c r="C77" s="391" t="s">
        <v>276</v>
      </c>
      <c r="D77" s="392"/>
      <c r="E77" s="268">
        <v>16.8</v>
      </c>
      <c r="F77" s="291" t="s">
        <v>55</v>
      </c>
      <c r="G77" s="257">
        <v>220</v>
      </c>
      <c r="H77" s="251">
        <f t="shared" si="7"/>
        <v>3696</v>
      </c>
      <c r="I77" s="252">
        <v>50</v>
      </c>
      <c r="J77" s="253">
        <f t="shared" si="8"/>
        <v>840</v>
      </c>
      <c r="K77" s="254">
        <f t="shared" si="9"/>
        <v>4536</v>
      </c>
      <c r="L77" s="270"/>
      <c r="M77" s="144">
        <v>16.8</v>
      </c>
      <c r="N77" s="186">
        <v>1.05</v>
      </c>
      <c r="O77" s="129"/>
      <c r="P77" s="150"/>
      <c r="Q77" s="151"/>
      <c r="R77" s="151"/>
      <c r="S77" s="151"/>
      <c r="T77" s="151"/>
    </row>
    <row r="78" spans="2:20" ht="20.100000000000001" customHeight="1" x14ac:dyDescent="0.55000000000000004">
      <c r="B78" s="315"/>
      <c r="C78" s="393" t="s">
        <v>277</v>
      </c>
      <c r="D78" s="393"/>
      <c r="E78" s="293">
        <v>1114</v>
      </c>
      <c r="F78" s="291" t="s">
        <v>55</v>
      </c>
      <c r="G78" s="257">
        <v>135</v>
      </c>
      <c r="H78" s="251">
        <f t="shared" si="7"/>
        <v>150390</v>
      </c>
      <c r="I78" s="252">
        <v>50</v>
      </c>
      <c r="J78" s="253">
        <f t="shared" si="8"/>
        <v>55700</v>
      </c>
      <c r="K78" s="254">
        <f t="shared" si="9"/>
        <v>206090</v>
      </c>
      <c r="L78" s="270"/>
      <c r="M78" s="160">
        <v>1114</v>
      </c>
      <c r="N78" s="186">
        <v>1.05</v>
      </c>
      <c r="O78" s="129"/>
      <c r="P78" s="150"/>
      <c r="Q78" s="151"/>
      <c r="R78" s="151"/>
      <c r="S78" s="151"/>
      <c r="T78" s="151"/>
    </row>
    <row r="79" spans="2:20" ht="20.100000000000001" customHeight="1" x14ac:dyDescent="0.55000000000000004">
      <c r="B79" s="317" t="s">
        <v>244</v>
      </c>
      <c r="C79" s="440" t="s">
        <v>278</v>
      </c>
      <c r="D79" s="412"/>
      <c r="E79" s="268">
        <v>23.37</v>
      </c>
      <c r="F79" s="290" t="s">
        <v>22</v>
      </c>
      <c r="G79" s="257">
        <v>58</v>
      </c>
      <c r="H79" s="251">
        <f t="shared" si="7"/>
        <v>1355.46</v>
      </c>
      <c r="I79" s="252">
        <v>35</v>
      </c>
      <c r="J79" s="253">
        <f t="shared" si="8"/>
        <v>817.95</v>
      </c>
      <c r="K79" s="254">
        <f t="shared" si="9"/>
        <v>2173.41</v>
      </c>
      <c r="L79" s="270"/>
      <c r="M79" s="144">
        <v>23.37</v>
      </c>
      <c r="N79" s="186">
        <v>1.05</v>
      </c>
      <c r="O79" s="129"/>
      <c r="P79" s="150"/>
      <c r="Q79" s="151"/>
      <c r="R79" s="151"/>
      <c r="S79" s="151"/>
      <c r="T79" s="151"/>
    </row>
    <row r="80" spans="2:20" ht="20.100000000000001" customHeight="1" x14ac:dyDescent="0.55000000000000004">
      <c r="B80" s="316">
        <v>3.3</v>
      </c>
      <c r="C80" s="394" t="s">
        <v>281</v>
      </c>
      <c r="D80" s="395"/>
      <c r="E80" s="268"/>
      <c r="F80" s="290" t="s">
        <v>233</v>
      </c>
      <c r="G80" s="257"/>
      <c r="H80" s="251"/>
      <c r="I80" s="252"/>
      <c r="J80" s="253"/>
      <c r="K80" s="254"/>
      <c r="L80" s="270"/>
      <c r="M80" s="144"/>
      <c r="N80" s="186">
        <v>1.05</v>
      </c>
      <c r="O80" s="129">
        <v>410</v>
      </c>
      <c r="P80" s="150"/>
      <c r="Q80" s="135">
        <v>3.8</v>
      </c>
      <c r="R80" s="135">
        <v>5</v>
      </c>
      <c r="S80" s="135">
        <v>0.1</v>
      </c>
      <c r="T80" s="135">
        <v>12</v>
      </c>
    </row>
    <row r="81" spans="2:40" s="140" customFormat="1" ht="20.100000000000001" customHeight="1" x14ac:dyDescent="0.55000000000000004">
      <c r="B81" s="288"/>
      <c r="C81" s="394" t="s">
        <v>282</v>
      </c>
      <c r="D81" s="395"/>
      <c r="E81" s="268">
        <v>50</v>
      </c>
      <c r="F81" s="256" t="s">
        <v>22</v>
      </c>
      <c r="G81" s="269">
        <v>260</v>
      </c>
      <c r="H81" s="251">
        <f t="shared" si="7"/>
        <v>13000</v>
      </c>
      <c r="I81" s="252">
        <v>70</v>
      </c>
      <c r="J81" s="253">
        <f t="shared" si="8"/>
        <v>3500</v>
      </c>
      <c r="K81" s="254">
        <f t="shared" si="9"/>
        <v>16500</v>
      </c>
      <c r="L81" s="270"/>
      <c r="M81" s="144">
        <v>50</v>
      </c>
      <c r="N81" s="186">
        <v>1.05</v>
      </c>
      <c r="O81" s="133" t="s">
        <v>77</v>
      </c>
      <c r="P81" s="145" t="s">
        <v>77</v>
      </c>
      <c r="Q81" s="135">
        <v>0.7</v>
      </c>
      <c r="R81" s="135">
        <v>1</v>
      </c>
      <c r="S81" s="135">
        <v>2</v>
      </c>
      <c r="T81" s="135">
        <v>16</v>
      </c>
      <c r="U81" s="135"/>
      <c r="V81" s="135">
        <f>10*(Q81+S81)*2*T81</f>
        <v>864</v>
      </c>
      <c r="W81" s="135"/>
      <c r="X81" s="135"/>
      <c r="Y81" s="147">
        <f>(SUM(U81:X81)/10)</f>
        <v>86.4</v>
      </c>
      <c r="Z81" s="147">
        <f>ROUND(Y81*1.07,0)</f>
        <v>92</v>
      </c>
      <c r="AA81" s="148">
        <f>+Z81*4.99</f>
        <v>459.08000000000004</v>
      </c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</row>
    <row r="82" spans="2:40" s="140" customFormat="1" ht="20.100000000000001" customHeight="1" x14ac:dyDescent="0.55000000000000004">
      <c r="B82" s="288"/>
      <c r="C82" s="396" t="s">
        <v>283</v>
      </c>
      <c r="D82" s="397"/>
      <c r="E82" s="268">
        <v>460</v>
      </c>
      <c r="F82" s="256" t="s">
        <v>22</v>
      </c>
      <c r="G82" s="269">
        <v>285</v>
      </c>
      <c r="H82" s="251">
        <f t="shared" si="7"/>
        <v>131100</v>
      </c>
      <c r="I82" s="252">
        <v>70</v>
      </c>
      <c r="J82" s="253">
        <f t="shared" si="8"/>
        <v>32200</v>
      </c>
      <c r="K82" s="254">
        <f t="shared" si="9"/>
        <v>163300</v>
      </c>
      <c r="L82" s="270"/>
      <c r="M82" s="144">
        <v>655</v>
      </c>
      <c r="N82" s="186">
        <v>1.05</v>
      </c>
      <c r="O82" s="159"/>
      <c r="P82" s="161"/>
      <c r="Q82" s="138"/>
      <c r="R82" s="138"/>
      <c r="S82" s="138"/>
      <c r="T82" s="138"/>
      <c r="U82" s="138"/>
      <c r="V82" s="138"/>
      <c r="W82" s="138"/>
      <c r="X82" s="138"/>
      <c r="Y82" s="162"/>
      <c r="Z82" s="162"/>
      <c r="AA82" s="16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</row>
    <row r="83" spans="2:40" s="140" customFormat="1" ht="20.100000000000001" customHeight="1" x14ac:dyDescent="0.55000000000000004">
      <c r="B83" s="288"/>
      <c r="C83" s="396" t="s">
        <v>284</v>
      </c>
      <c r="D83" s="397"/>
      <c r="E83" s="268">
        <v>43</v>
      </c>
      <c r="F83" s="256" t="s">
        <v>22</v>
      </c>
      <c r="G83" s="269">
        <v>409</v>
      </c>
      <c r="H83" s="251">
        <f t="shared" si="7"/>
        <v>17587</v>
      </c>
      <c r="I83" s="252">
        <v>50</v>
      </c>
      <c r="J83" s="253">
        <f t="shared" si="8"/>
        <v>2150</v>
      </c>
      <c r="K83" s="254">
        <f t="shared" si="9"/>
        <v>19737</v>
      </c>
      <c r="L83" s="270"/>
      <c r="M83" s="144">
        <v>56.5</v>
      </c>
      <c r="N83" s="186">
        <v>1.05</v>
      </c>
      <c r="O83" s="159"/>
      <c r="P83" s="161"/>
      <c r="Q83" s="138"/>
      <c r="R83" s="138"/>
      <c r="S83" s="138"/>
      <c r="T83" s="138"/>
      <c r="U83" s="138"/>
      <c r="V83" s="138"/>
      <c r="W83" s="138"/>
      <c r="X83" s="138"/>
      <c r="Y83" s="162"/>
      <c r="Z83" s="162"/>
      <c r="AA83" s="16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</row>
    <row r="84" spans="2:40" ht="20.100000000000001" customHeight="1" x14ac:dyDescent="0.55000000000000004">
      <c r="B84" s="288"/>
      <c r="C84" s="398" t="s">
        <v>285</v>
      </c>
      <c r="D84" s="399"/>
      <c r="E84" s="268">
        <v>660</v>
      </c>
      <c r="F84" s="290" t="s">
        <v>274</v>
      </c>
      <c r="G84" s="257">
        <v>3.5</v>
      </c>
      <c r="H84" s="251">
        <f t="shared" si="7"/>
        <v>2310</v>
      </c>
      <c r="I84" s="252">
        <v>3.5</v>
      </c>
      <c r="J84" s="253">
        <f t="shared" si="8"/>
        <v>2310</v>
      </c>
      <c r="K84" s="254">
        <f t="shared" si="9"/>
        <v>4620</v>
      </c>
      <c r="L84" s="270"/>
      <c r="M84" s="144">
        <v>660</v>
      </c>
      <c r="N84" s="186">
        <v>1.05</v>
      </c>
      <c r="O84" s="441" t="s">
        <v>135</v>
      </c>
      <c r="P84" s="442"/>
      <c r="Q84" s="138"/>
      <c r="R84" s="138"/>
      <c r="S84" s="138"/>
      <c r="T84" s="138"/>
    </row>
    <row r="85" spans="2:40" ht="20.100000000000001" customHeight="1" x14ac:dyDescent="0.55000000000000004">
      <c r="B85" s="288"/>
      <c r="C85" s="391" t="s">
        <v>276</v>
      </c>
      <c r="D85" s="392"/>
      <c r="E85" s="268">
        <v>98.2</v>
      </c>
      <c r="F85" s="290" t="s">
        <v>55</v>
      </c>
      <c r="G85" s="257">
        <v>220</v>
      </c>
      <c r="H85" s="251">
        <f t="shared" si="7"/>
        <v>21604</v>
      </c>
      <c r="I85" s="252">
        <v>50</v>
      </c>
      <c r="J85" s="253">
        <f t="shared" si="8"/>
        <v>4910</v>
      </c>
      <c r="K85" s="254">
        <f t="shared" si="9"/>
        <v>26514</v>
      </c>
      <c r="L85" s="270"/>
      <c r="M85" s="144">
        <v>98.2</v>
      </c>
      <c r="N85" s="186">
        <v>1.05</v>
      </c>
      <c r="O85" s="129"/>
      <c r="P85" s="150"/>
      <c r="Q85" s="135">
        <v>3.8</v>
      </c>
      <c r="R85" s="135">
        <v>5</v>
      </c>
      <c r="S85" s="135">
        <v>0.1</v>
      </c>
      <c r="T85" s="135">
        <v>12</v>
      </c>
    </row>
    <row r="86" spans="2:40" ht="20.100000000000001" customHeight="1" x14ac:dyDescent="0.55000000000000004">
      <c r="B86" s="316">
        <v>3.4</v>
      </c>
      <c r="C86" s="394" t="s">
        <v>286</v>
      </c>
      <c r="D86" s="395"/>
      <c r="E86" s="268">
        <v>340</v>
      </c>
      <c r="F86" s="290" t="s">
        <v>22</v>
      </c>
      <c r="G86" s="257">
        <v>75</v>
      </c>
      <c r="H86" s="251">
        <f t="shared" si="7"/>
        <v>25500</v>
      </c>
      <c r="I86" s="252">
        <v>87</v>
      </c>
      <c r="J86" s="253">
        <f t="shared" si="8"/>
        <v>29580</v>
      </c>
      <c r="K86" s="254">
        <f t="shared" si="9"/>
        <v>55080</v>
      </c>
      <c r="L86" s="270"/>
      <c r="M86" s="144">
        <v>640</v>
      </c>
      <c r="N86" s="186">
        <v>1.05</v>
      </c>
      <c r="O86" s="129"/>
      <c r="P86" s="150"/>
      <c r="Q86" s="138"/>
      <c r="R86" s="138"/>
      <c r="S86" s="138"/>
      <c r="T86" s="138"/>
    </row>
    <row r="87" spans="2:40" ht="20.100000000000001" customHeight="1" x14ac:dyDescent="0.55000000000000004">
      <c r="B87" s="316">
        <v>3.5</v>
      </c>
      <c r="C87" s="394" t="s">
        <v>289</v>
      </c>
      <c r="D87" s="395"/>
      <c r="E87" s="268"/>
      <c r="F87" s="290" t="s">
        <v>233</v>
      </c>
      <c r="G87" s="257"/>
      <c r="H87" s="251" t="s">
        <v>233</v>
      </c>
      <c r="I87" s="252"/>
      <c r="J87" s="253" t="s">
        <v>233</v>
      </c>
      <c r="K87" s="254" t="s">
        <v>233</v>
      </c>
      <c r="L87" s="270"/>
      <c r="M87" s="144"/>
      <c r="N87" s="186">
        <v>1.05</v>
      </c>
      <c r="O87" s="129"/>
      <c r="P87" s="150"/>
      <c r="Q87" s="138"/>
      <c r="R87" s="138"/>
      <c r="S87" s="138"/>
      <c r="T87" s="138"/>
    </row>
    <row r="88" spans="2:40" ht="20.100000000000001" customHeight="1" x14ac:dyDescent="0.55000000000000004">
      <c r="B88" s="316"/>
      <c r="C88" s="394" t="s">
        <v>287</v>
      </c>
      <c r="D88" s="395"/>
      <c r="E88" s="268">
        <v>340</v>
      </c>
      <c r="F88" s="290" t="s">
        <v>22</v>
      </c>
      <c r="G88" s="257">
        <v>35</v>
      </c>
      <c r="H88" s="251">
        <f t="shared" si="7"/>
        <v>11900</v>
      </c>
      <c r="I88" s="252">
        <v>30</v>
      </c>
      <c r="J88" s="253">
        <f t="shared" si="8"/>
        <v>10200</v>
      </c>
      <c r="K88" s="254">
        <f t="shared" si="9"/>
        <v>22100</v>
      </c>
      <c r="L88" s="270"/>
      <c r="M88" s="144">
        <v>442</v>
      </c>
      <c r="N88" s="186">
        <v>1.05</v>
      </c>
      <c r="O88" s="129"/>
      <c r="P88" s="150"/>
      <c r="Q88" s="138"/>
      <c r="R88" s="138"/>
      <c r="S88" s="138"/>
      <c r="T88" s="138"/>
    </row>
    <row r="89" spans="2:40" ht="20.100000000000001" customHeight="1" x14ac:dyDescent="0.55000000000000004">
      <c r="B89" s="316"/>
      <c r="C89" s="394" t="s">
        <v>288</v>
      </c>
      <c r="D89" s="395"/>
      <c r="E89" s="294">
        <v>154</v>
      </c>
      <c r="F89" s="290" t="s">
        <v>22</v>
      </c>
      <c r="G89" s="295">
        <v>44</v>
      </c>
      <c r="H89" s="251">
        <f t="shared" si="7"/>
        <v>6776</v>
      </c>
      <c r="I89" s="252">
        <v>34</v>
      </c>
      <c r="J89" s="253">
        <f t="shared" si="8"/>
        <v>5236</v>
      </c>
      <c r="K89" s="254">
        <f t="shared" si="9"/>
        <v>12012</v>
      </c>
      <c r="L89" s="296"/>
      <c r="M89" s="164">
        <v>198</v>
      </c>
      <c r="N89" s="186">
        <v>1.05</v>
      </c>
      <c r="O89" s="129"/>
      <c r="P89" s="150"/>
      <c r="Q89" s="138"/>
      <c r="R89" s="138"/>
      <c r="S89" s="138"/>
      <c r="T89" s="138"/>
    </row>
    <row r="90" spans="2:40" ht="20.100000000000001" customHeight="1" x14ac:dyDescent="0.55000000000000004">
      <c r="B90" s="318">
        <v>3.6</v>
      </c>
      <c r="C90" s="394" t="s">
        <v>290</v>
      </c>
      <c r="D90" s="395"/>
      <c r="E90" s="294"/>
      <c r="F90" s="298"/>
      <c r="G90" s="295"/>
      <c r="H90" s="251" t="s">
        <v>233</v>
      </c>
      <c r="I90" s="252"/>
      <c r="J90" s="253" t="s">
        <v>233</v>
      </c>
      <c r="K90" s="254" t="s">
        <v>233</v>
      </c>
      <c r="L90" s="296"/>
      <c r="M90" s="164"/>
      <c r="N90" s="186">
        <v>1.05</v>
      </c>
      <c r="O90" s="129"/>
      <c r="P90" s="150"/>
      <c r="Q90" s="138"/>
      <c r="R90" s="138"/>
      <c r="S90" s="138"/>
      <c r="T90" s="138"/>
    </row>
    <row r="91" spans="2:40" ht="20.100000000000001" customHeight="1" x14ac:dyDescent="0.55000000000000004">
      <c r="B91" s="319"/>
      <c r="C91" s="401" t="s">
        <v>335</v>
      </c>
      <c r="D91" s="402"/>
      <c r="E91" s="294">
        <v>54</v>
      </c>
      <c r="F91" s="290" t="s">
        <v>22</v>
      </c>
      <c r="G91" s="295">
        <v>109</v>
      </c>
      <c r="H91" s="251">
        <f t="shared" si="7"/>
        <v>5886</v>
      </c>
      <c r="I91" s="252">
        <v>45</v>
      </c>
      <c r="J91" s="253">
        <f t="shared" si="8"/>
        <v>2430</v>
      </c>
      <c r="K91" s="254">
        <f t="shared" si="9"/>
        <v>8316</v>
      </c>
      <c r="L91" s="296"/>
      <c r="M91" s="164">
        <v>58.5</v>
      </c>
      <c r="N91" s="186">
        <v>1.05</v>
      </c>
      <c r="O91" s="129"/>
      <c r="P91" s="150"/>
      <c r="Q91" s="138"/>
      <c r="R91" s="138"/>
      <c r="S91" s="138"/>
      <c r="T91" s="138"/>
    </row>
    <row r="92" spans="2:40" ht="20.100000000000001" customHeight="1" x14ac:dyDescent="0.55000000000000004">
      <c r="B92" s="288"/>
      <c r="C92" s="401" t="s">
        <v>291</v>
      </c>
      <c r="D92" s="402"/>
      <c r="E92" s="268">
        <v>330</v>
      </c>
      <c r="F92" s="290" t="s">
        <v>22</v>
      </c>
      <c r="G92" s="257">
        <v>109</v>
      </c>
      <c r="H92" s="251">
        <f t="shared" si="7"/>
        <v>35970</v>
      </c>
      <c r="I92" s="252">
        <v>40</v>
      </c>
      <c r="J92" s="253">
        <f t="shared" si="8"/>
        <v>13200</v>
      </c>
      <c r="K92" s="254">
        <f t="shared" si="9"/>
        <v>49170</v>
      </c>
      <c r="L92" s="270"/>
      <c r="M92" s="164">
        <v>330</v>
      </c>
      <c r="N92" s="186">
        <v>1.05</v>
      </c>
      <c r="O92" s="129"/>
      <c r="P92" s="150"/>
      <c r="Q92" s="138"/>
      <c r="R92" s="138"/>
      <c r="S92" s="138"/>
      <c r="T92" s="138"/>
    </row>
    <row r="93" spans="2:40" ht="20.100000000000001" customHeight="1" x14ac:dyDescent="0.55000000000000004">
      <c r="B93" s="297">
        <v>4</v>
      </c>
      <c r="C93" s="394" t="s">
        <v>292</v>
      </c>
      <c r="D93" s="395"/>
      <c r="E93" s="294"/>
      <c r="F93" s="298"/>
      <c r="G93" s="295"/>
      <c r="H93" s="251" t="s">
        <v>233</v>
      </c>
      <c r="I93" s="252"/>
      <c r="J93" s="253" t="s">
        <v>233</v>
      </c>
      <c r="K93" s="254" t="s">
        <v>233</v>
      </c>
      <c r="L93" s="296"/>
      <c r="M93" s="164"/>
      <c r="N93" s="186">
        <v>1.05</v>
      </c>
      <c r="O93" s="129"/>
      <c r="P93" s="150"/>
      <c r="Q93" s="138"/>
      <c r="R93" s="138"/>
      <c r="S93" s="138"/>
      <c r="T93" s="138"/>
    </row>
    <row r="94" spans="2:40" ht="20.100000000000001" customHeight="1" x14ac:dyDescent="0.55000000000000004">
      <c r="B94" s="318">
        <v>4.0999999999999996</v>
      </c>
      <c r="C94" s="278" t="s">
        <v>294</v>
      </c>
      <c r="D94" s="279"/>
      <c r="E94" s="294"/>
      <c r="F94" s="298"/>
      <c r="G94" s="295"/>
      <c r="H94" s="251">
        <f t="shared" ref="H94:H111" si="13">E94*G94</f>
        <v>0</v>
      </c>
      <c r="I94" s="252"/>
      <c r="J94" s="253">
        <f t="shared" ref="J94:J111" si="14">E94*I94</f>
        <v>0</v>
      </c>
      <c r="K94" s="254">
        <f t="shared" ref="K94:K111" si="15">H94+J94</f>
        <v>0</v>
      </c>
      <c r="L94" s="296"/>
      <c r="M94" s="164">
        <v>120</v>
      </c>
      <c r="N94" s="186">
        <v>1.05</v>
      </c>
      <c r="O94" s="129"/>
      <c r="P94" s="150"/>
      <c r="Q94" s="138"/>
      <c r="R94" s="138"/>
      <c r="S94" s="138"/>
      <c r="T94" s="138"/>
    </row>
    <row r="95" spans="2:40" ht="20.100000000000001" customHeight="1" x14ac:dyDescent="0.55000000000000004">
      <c r="B95" s="318"/>
      <c r="C95" s="394" t="s">
        <v>366</v>
      </c>
      <c r="D95" s="395"/>
      <c r="E95" s="294">
        <v>40</v>
      </c>
      <c r="F95" s="298" t="s">
        <v>54</v>
      </c>
      <c r="G95" s="295">
        <v>65</v>
      </c>
      <c r="H95" s="251">
        <f t="shared" si="13"/>
        <v>2600</v>
      </c>
      <c r="I95" s="252">
        <v>30</v>
      </c>
      <c r="J95" s="253">
        <f t="shared" si="14"/>
        <v>1200</v>
      </c>
      <c r="K95" s="254">
        <f t="shared" si="15"/>
        <v>3800</v>
      </c>
      <c r="L95" s="296"/>
      <c r="M95" s="164">
        <v>140</v>
      </c>
      <c r="N95" s="186">
        <v>1.05</v>
      </c>
      <c r="O95" s="129"/>
      <c r="P95" s="150"/>
      <c r="Q95" s="138"/>
      <c r="R95" s="138"/>
      <c r="S95" s="138"/>
      <c r="T95" s="138"/>
    </row>
    <row r="96" spans="2:40" ht="20.100000000000001" customHeight="1" x14ac:dyDescent="0.55000000000000004">
      <c r="B96" s="318"/>
      <c r="C96" s="394" t="s">
        <v>367</v>
      </c>
      <c r="D96" s="395"/>
      <c r="E96" s="294">
        <v>45</v>
      </c>
      <c r="F96" s="298" t="s">
        <v>54</v>
      </c>
      <c r="G96" s="295">
        <v>70</v>
      </c>
      <c r="H96" s="251">
        <f t="shared" si="13"/>
        <v>3150</v>
      </c>
      <c r="I96" s="252">
        <v>30</v>
      </c>
      <c r="J96" s="253">
        <f t="shared" si="14"/>
        <v>1350</v>
      </c>
      <c r="K96" s="254">
        <f t="shared" si="15"/>
        <v>4500</v>
      </c>
      <c r="L96" s="296"/>
      <c r="M96" s="164">
        <v>35</v>
      </c>
      <c r="N96" s="186">
        <v>1.05</v>
      </c>
      <c r="O96" s="129"/>
      <c r="P96" s="150"/>
      <c r="Q96" s="138"/>
      <c r="R96" s="138"/>
      <c r="S96" s="138"/>
      <c r="T96" s="138"/>
    </row>
    <row r="97" spans="2:21" ht="20.100000000000001" customHeight="1" x14ac:dyDescent="0.55000000000000004">
      <c r="B97" s="318"/>
      <c r="C97" s="394" t="s">
        <v>328</v>
      </c>
      <c r="D97" s="395"/>
      <c r="E97" s="294">
        <v>15</v>
      </c>
      <c r="F97" s="298" t="s">
        <v>54</v>
      </c>
      <c r="G97" s="295">
        <v>420</v>
      </c>
      <c r="H97" s="251">
        <f t="shared" si="13"/>
        <v>6300</v>
      </c>
      <c r="I97" s="252">
        <v>150</v>
      </c>
      <c r="J97" s="253">
        <f t="shared" si="14"/>
        <v>2250</v>
      </c>
      <c r="K97" s="254">
        <f t="shared" si="15"/>
        <v>8550</v>
      </c>
      <c r="L97" s="296"/>
      <c r="M97" s="164">
        <v>300</v>
      </c>
      <c r="N97" s="186">
        <v>1.05</v>
      </c>
      <c r="O97" s="129"/>
      <c r="P97" s="150"/>
      <c r="Q97" s="138"/>
      <c r="R97" s="138">
        <v>63.5</v>
      </c>
      <c r="S97" s="138">
        <v>19</v>
      </c>
      <c r="T97" s="138"/>
    </row>
    <row r="98" spans="2:21" ht="20.100000000000001" customHeight="1" x14ac:dyDescent="0.55000000000000004">
      <c r="B98" s="318"/>
      <c r="C98" s="394" t="s">
        <v>293</v>
      </c>
      <c r="D98" s="395"/>
      <c r="E98" s="294">
        <v>300</v>
      </c>
      <c r="F98" s="298" t="s">
        <v>274</v>
      </c>
      <c r="G98" s="295">
        <v>8</v>
      </c>
      <c r="H98" s="251">
        <f t="shared" si="13"/>
        <v>2400</v>
      </c>
      <c r="I98" s="252">
        <v>5</v>
      </c>
      <c r="J98" s="253">
        <f t="shared" si="14"/>
        <v>1500</v>
      </c>
      <c r="K98" s="254">
        <f t="shared" si="15"/>
        <v>3900</v>
      </c>
      <c r="L98" s="296"/>
      <c r="M98" s="164">
        <v>1</v>
      </c>
      <c r="N98" s="186">
        <v>1.05</v>
      </c>
      <c r="O98" s="129"/>
      <c r="P98" s="150"/>
      <c r="Q98" s="138"/>
      <c r="R98" s="138">
        <v>9.4600000000000009</v>
      </c>
      <c r="S98" s="138">
        <v>7</v>
      </c>
      <c r="T98" s="138"/>
      <c r="U98" s="137"/>
    </row>
    <row r="99" spans="2:21" ht="20.100000000000001" customHeight="1" x14ac:dyDescent="0.55000000000000004">
      <c r="B99" s="318"/>
      <c r="C99" s="394" t="s">
        <v>326</v>
      </c>
      <c r="D99" s="395"/>
      <c r="E99" s="294">
        <v>1</v>
      </c>
      <c r="F99" s="298" t="s">
        <v>254</v>
      </c>
      <c r="G99" s="295">
        <v>3500</v>
      </c>
      <c r="H99" s="251">
        <f t="shared" si="13"/>
        <v>3500</v>
      </c>
      <c r="I99" s="252">
        <v>0</v>
      </c>
      <c r="J99" s="253">
        <f t="shared" si="14"/>
        <v>0</v>
      </c>
      <c r="K99" s="254">
        <f t="shared" si="15"/>
        <v>3500</v>
      </c>
      <c r="L99" s="296"/>
      <c r="M99" s="164"/>
      <c r="N99" s="186"/>
      <c r="O99" s="129"/>
      <c r="P99" s="150"/>
      <c r="Q99" s="138"/>
      <c r="R99" s="138"/>
      <c r="S99" s="138"/>
      <c r="T99" s="138"/>
      <c r="U99" s="137"/>
    </row>
    <row r="100" spans="2:21" ht="20.100000000000001" customHeight="1" x14ac:dyDescent="0.55000000000000004">
      <c r="B100" s="318">
        <v>4.2</v>
      </c>
      <c r="C100" s="394" t="s">
        <v>295</v>
      </c>
      <c r="D100" s="395"/>
      <c r="E100" s="294"/>
      <c r="F100" s="298"/>
      <c r="G100" s="295"/>
      <c r="H100" s="251">
        <f t="shared" si="13"/>
        <v>0</v>
      </c>
      <c r="I100" s="252"/>
      <c r="J100" s="253">
        <f t="shared" si="14"/>
        <v>0</v>
      </c>
      <c r="K100" s="254">
        <f t="shared" si="15"/>
        <v>0</v>
      </c>
      <c r="L100" s="296"/>
      <c r="M100" s="164"/>
      <c r="N100" s="186">
        <v>1.05</v>
      </c>
      <c r="O100" s="129"/>
      <c r="P100" s="150"/>
      <c r="Q100" s="138"/>
      <c r="R100" s="138">
        <v>23.49</v>
      </c>
      <c r="S100" s="138">
        <v>12</v>
      </c>
      <c r="T100" s="138"/>
      <c r="U100" s="137"/>
    </row>
    <row r="101" spans="2:21" ht="20.100000000000001" customHeight="1" x14ac:dyDescent="0.55000000000000004">
      <c r="B101" s="318"/>
      <c r="C101" s="394" t="s">
        <v>329</v>
      </c>
      <c r="D101" s="395"/>
      <c r="E101" s="294">
        <v>163</v>
      </c>
      <c r="F101" s="298" t="s">
        <v>55</v>
      </c>
      <c r="G101" s="295">
        <v>11.83</v>
      </c>
      <c r="H101" s="251">
        <f t="shared" si="13"/>
        <v>1928.29</v>
      </c>
      <c r="I101" s="252">
        <v>7</v>
      </c>
      <c r="J101" s="253">
        <f t="shared" si="14"/>
        <v>1141</v>
      </c>
      <c r="K101" s="254">
        <f t="shared" si="15"/>
        <v>3069.29</v>
      </c>
      <c r="L101" s="296"/>
      <c r="M101" s="164">
        <v>155</v>
      </c>
      <c r="N101" s="186">
        <v>1.05</v>
      </c>
      <c r="O101" s="129"/>
      <c r="P101" s="150"/>
      <c r="Q101" s="138"/>
      <c r="R101" s="138">
        <v>93.78</v>
      </c>
      <c r="S101" s="138">
        <v>30</v>
      </c>
      <c r="T101" s="138"/>
    </row>
    <row r="102" spans="2:21" ht="20.100000000000001" customHeight="1" x14ac:dyDescent="0.55000000000000004">
      <c r="B102" s="320"/>
      <c r="C102" s="394" t="s">
        <v>296</v>
      </c>
      <c r="D102" s="395"/>
      <c r="E102" s="294">
        <f>+M102*N102</f>
        <v>210</v>
      </c>
      <c r="F102" s="298" t="s">
        <v>55</v>
      </c>
      <c r="G102" s="295">
        <v>6.23</v>
      </c>
      <c r="H102" s="251">
        <f t="shared" si="13"/>
        <v>1308.3000000000002</v>
      </c>
      <c r="I102" s="252">
        <v>5</v>
      </c>
      <c r="J102" s="253">
        <f t="shared" si="14"/>
        <v>1050</v>
      </c>
      <c r="K102" s="254">
        <f t="shared" si="15"/>
        <v>2358.3000000000002</v>
      </c>
      <c r="L102" s="296"/>
      <c r="M102" s="164">
        <v>200</v>
      </c>
      <c r="N102" s="186">
        <v>1.05</v>
      </c>
      <c r="O102" s="129"/>
      <c r="P102" s="150"/>
      <c r="Q102" s="138"/>
      <c r="R102" s="138">
        <v>37.83</v>
      </c>
      <c r="S102" s="138">
        <v>23</v>
      </c>
      <c r="T102" s="138"/>
    </row>
    <row r="103" spans="2:21" ht="20.100000000000001" customHeight="1" x14ac:dyDescent="0.55000000000000004">
      <c r="B103" s="318"/>
      <c r="C103" s="394" t="s">
        <v>297</v>
      </c>
      <c r="D103" s="395"/>
      <c r="E103" s="294">
        <v>1</v>
      </c>
      <c r="F103" s="298" t="s">
        <v>254</v>
      </c>
      <c r="G103" s="295">
        <v>50000</v>
      </c>
      <c r="H103" s="251">
        <f t="shared" si="13"/>
        <v>50000</v>
      </c>
      <c r="I103" s="252">
        <v>8500</v>
      </c>
      <c r="J103" s="253">
        <f t="shared" si="14"/>
        <v>8500</v>
      </c>
      <c r="K103" s="254">
        <f t="shared" si="15"/>
        <v>58500</v>
      </c>
      <c r="L103" s="296"/>
      <c r="M103" s="164">
        <v>1</v>
      </c>
      <c r="N103" s="186">
        <v>1.05</v>
      </c>
      <c r="O103" s="129"/>
      <c r="P103" s="150"/>
      <c r="Q103" s="138"/>
      <c r="R103" s="138">
        <v>26.21</v>
      </c>
      <c r="S103" s="138">
        <v>21</v>
      </c>
      <c r="T103" s="138"/>
    </row>
    <row r="104" spans="2:21" ht="20.100000000000001" customHeight="1" x14ac:dyDescent="0.55000000000000004">
      <c r="B104" s="318">
        <v>4.3</v>
      </c>
      <c r="C104" s="391" t="s">
        <v>298</v>
      </c>
      <c r="D104" s="392"/>
      <c r="E104" s="294"/>
      <c r="F104" s="298"/>
      <c r="G104" s="295"/>
      <c r="H104" s="251"/>
      <c r="I104" s="252"/>
      <c r="J104" s="253"/>
      <c r="K104" s="254"/>
      <c r="L104" s="296"/>
      <c r="M104" s="164"/>
      <c r="N104" s="186">
        <v>1.05</v>
      </c>
      <c r="O104" s="129"/>
      <c r="P104" s="150"/>
      <c r="Q104" s="138"/>
      <c r="R104" s="138"/>
      <c r="S104" s="138"/>
      <c r="T104" s="138"/>
    </row>
    <row r="105" spans="2:21" ht="20.100000000000001" customHeight="1" x14ac:dyDescent="0.55000000000000004">
      <c r="B105" s="318"/>
      <c r="C105" s="391" t="s">
        <v>299</v>
      </c>
      <c r="D105" s="392"/>
      <c r="E105" s="294">
        <v>1</v>
      </c>
      <c r="F105" s="298" t="s">
        <v>31</v>
      </c>
      <c r="G105" s="295">
        <v>8560</v>
      </c>
      <c r="H105" s="251">
        <f t="shared" si="13"/>
        <v>8560</v>
      </c>
      <c r="I105" s="252">
        <v>1200</v>
      </c>
      <c r="J105" s="253">
        <f t="shared" si="14"/>
        <v>1200</v>
      </c>
      <c r="K105" s="254">
        <f t="shared" si="15"/>
        <v>9760</v>
      </c>
      <c r="L105" s="296"/>
      <c r="M105" s="164">
        <v>1</v>
      </c>
      <c r="N105" s="186">
        <v>1.05</v>
      </c>
      <c r="O105" s="129"/>
      <c r="P105" s="150"/>
      <c r="Q105" s="138"/>
      <c r="R105" s="138"/>
      <c r="S105" s="138"/>
      <c r="T105" s="138"/>
    </row>
    <row r="106" spans="2:21" ht="20.100000000000001" customHeight="1" x14ac:dyDescent="0.55000000000000004">
      <c r="B106" s="297"/>
      <c r="C106" s="391" t="s">
        <v>300</v>
      </c>
      <c r="D106" s="392"/>
      <c r="E106" s="294">
        <v>1</v>
      </c>
      <c r="F106" s="298" t="s">
        <v>31</v>
      </c>
      <c r="G106" s="295">
        <v>1256</v>
      </c>
      <c r="H106" s="251">
        <f t="shared" si="13"/>
        <v>1256</v>
      </c>
      <c r="I106" s="252">
        <v>1200</v>
      </c>
      <c r="J106" s="253">
        <f t="shared" si="14"/>
        <v>1200</v>
      </c>
      <c r="K106" s="254">
        <f t="shared" si="15"/>
        <v>2456</v>
      </c>
      <c r="L106" s="296"/>
      <c r="M106" s="164">
        <v>1</v>
      </c>
      <c r="N106" s="186">
        <v>1.05</v>
      </c>
      <c r="O106" s="129"/>
      <c r="P106" s="150"/>
      <c r="Q106" s="138"/>
      <c r="R106" s="138"/>
      <c r="S106" s="138"/>
      <c r="T106" s="138"/>
    </row>
    <row r="107" spans="2:21" ht="20.100000000000001" customHeight="1" x14ac:dyDescent="0.55000000000000004">
      <c r="B107" s="297"/>
      <c r="C107" s="394" t="s">
        <v>301</v>
      </c>
      <c r="D107" s="395"/>
      <c r="E107" s="294">
        <v>10</v>
      </c>
      <c r="F107" s="298" t="s">
        <v>31</v>
      </c>
      <c r="G107" s="295">
        <v>2725</v>
      </c>
      <c r="H107" s="251">
        <f t="shared" si="13"/>
        <v>27250</v>
      </c>
      <c r="I107" s="252">
        <v>650</v>
      </c>
      <c r="J107" s="253">
        <f t="shared" si="14"/>
        <v>6500</v>
      </c>
      <c r="K107" s="254">
        <f t="shared" si="15"/>
        <v>33750</v>
      </c>
      <c r="L107" s="296"/>
      <c r="M107" s="164">
        <v>10</v>
      </c>
      <c r="N107" s="186">
        <v>1.05</v>
      </c>
      <c r="O107" s="129"/>
      <c r="P107" s="150"/>
      <c r="Q107" s="138"/>
      <c r="R107" s="138"/>
      <c r="S107" s="138"/>
      <c r="T107" s="138"/>
    </row>
    <row r="108" spans="2:21" ht="20.100000000000001" customHeight="1" x14ac:dyDescent="0.55000000000000004">
      <c r="B108" s="297"/>
      <c r="C108" s="394" t="s">
        <v>323</v>
      </c>
      <c r="D108" s="395"/>
      <c r="E108" s="294"/>
      <c r="F108" s="298"/>
      <c r="G108" s="295"/>
      <c r="H108" s="251"/>
      <c r="I108" s="252"/>
      <c r="J108" s="253"/>
      <c r="K108" s="254"/>
      <c r="L108" s="296"/>
      <c r="M108" s="164"/>
      <c r="N108" s="186">
        <v>1.05</v>
      </c>
      <c r="O108" s="129"/>
      <c r="P108" s="150"/>
      <c r="Q108" s="138"/>
      <c r="R108" s="138"/>
      <c r="S108" s="138"/>
      <c r="T108" s="138"/>
    </row>
    <row r="109" spans="2:21" ht="20.100000000000001" customHeight="1" x14ac:dyDescent="0.55000000000000004">
      <c r="B109" s="297"/>
      <c r="C109" s="394" t="s">
        <v>302</v>
      </c>
      <c r="D109" s="395"/>
      <c r="E109" s="294">
        <v>3</v>
      </c>
      <c r="F109" s="298" t="s">
        <v>31</v>
      </c>
      <c r="G109" s="295">
        <v>558</v>
      </c>
      <c r="H109" s="251">
        <f t="shared" si="13"/>
        <v>1674</v>
      </c>
      <c r="I109" s="252">
        <v>150</v>
      </c>
      <c r="J109" s="253">
        <f t="shared" si="14"/>
        <v>450</v>
      </c>
      <c r="K109" s="254">
        <f t="shared" si="15"/>
        <v>2124</v>
      </c>
      <c r="L109" s="296"/>
      <c r="M109" s="164">
        <v>3</v>
      </c>
      <c r="N109" s="186">
        <v>1.05</v>
      </c>
      <c r="O109" s="129"/>
      <c r="P109" s="150"/>
      <c r="Q109" s="138"/>
      <c r="R109" s="138"/>
      <c r="S109" s="138"/>
      <c r="T109" s="138"/>
    </row>
    <row r="110" spans="2:21" ht="20.100000000000001" customHeight="1" x14ac:dyDescent="0.55000000000000004">
      <c r="B110" s="297"/>
      <c r="C110" s="394" t="s">
        <v>303</v>
      </c>
      <c r="D110" s="395"/>
      <c r="E110" s="294">
        <v>5</v>
      </c>
      <c r="F110" s="298" t="s">
        <v>79</v>
      </c>
      <c r="G110" s="295">
        <v>155</v>
      </c>
      <c r="H110" s="251">
        <f t="shared" si="13"/>
        <v>775</v>
      </c>
      <c r="I110" s="252">
        <v>80</v>
      </c>
      <c r="J110" s="253">
        <f t="shared" si="14"/>
        <v>400</v>
      </c>
      <c r="K110" s="254">
        <f t="shared" si="15"/>
        <v>1175</v>
      </c>
      <c r="L110" s="296"/>
      <c r="M110" s="164">
        <v>5</v>
      </c>
      <c r="N110" s="186">
        <v>1.05</v>
      </c>
      <c r="O110" s="129"/>
      <c r="P110" s="150"/>
      <c r="Q110" s="138"/>
      <c r="R110" s="138"/>
      <c r="S110" s="138"/>
      <c r="T110" s="138"/>
    </row>
    <row r="111" spans="2:21" ht="20.100000000000001" customHeight="1" x14ac:dyDescent="0.55000000000000004">
      <c r="B111" s="297"/>
      <c r="C111" s="394" t="s">
        <v>304</v>
      </c>
      <c r="D111" s="395"/>
      <c r="E111" s="294">
        <v>8</v>
      </c>
      <c r="F111" s="298" t="s">
        <v>79</v>
      </c>
      <c r="G111" s="295">
        <v>170</v>
      </c>
      <c r="H111" s="251">
        <f t="shared" si="13"/>
        <v>1360</v>
      </c>
      <c r="I111" s="252">
        <v>90</v>
      </c>
      <c r="J111" s="253">
        <f t="shared" si="14"/>
        <v>720</v>
      </c>
      <c r="K111" s="254">
        <f t="shared" si="15"/>
        <v>2080</v>
      </c>
      <c r="L111" s="296"/>
      <c r="M111" s="164">
        <v>8</v>
      </c>
      <c r="N111" s="186">
        <v>1.05</v>
      </c>
      <c r="O111" s="129"/>
      <c r="P111" s="150"/>
      <c r="Q111" s="138"/>
      <c r="R111" s="138"/>
      <c r="S111" s="138"/>
      <c r="T111" s="138"/>
    </row>
    <row r="112" spans="2:21" ht="20.100000000000001" customHeight="1" x14ac:dyDescent="0.55000000000000004">
      <c r="B112" s="297">
        <v>5</v>
      </c>
      <c r="C112" s="278" t="s">
        <v>306</v>
      </c>
      <c r="D112" s="279"/>
      <c r="E112" s="294"/>
      <c r="F112" s="298"/>
      <c r="G112" s="295"/>
      <c r="H112" s="251"/>
      <c r="I112" s="299"/>
      <c r="J112" s="253"/>
      <c r="K112" s="254"/>
      <c r="L112" s="296"/>
      <c r="M112" s="164"/>
      <c r="N112" s="186">
        <v>1.05</v>
      </c>
      <c r="O112" s="129"/>
      <c r="P112" s="150"/>
      <c r="Q112" s="138"/>
      <c r="R112" s="138"/>
      <c r="S112" s="138"/>
      <c r="T112" s="138"/>
    </row>
    <row r="113" spans="2:40" ht="20.100000000000001" customHeight="1" x14ac:dyDescent="0.55000000000000004">
      <c r="B113" s="297"/>
      <c r="C113" s="278" t="s">
        <v>403</v>
      </c>
      <c r="D113" s="279"/>
      <c r="E113" s="294">
        <v>3</v>
      </c>
      <c r="F113" s="298" t="s">
        <v>31</v>
      </c>
      <c r="G113" s="295">
        <v>85956</v>
      </c>
      <c r="H113" s="251">
        <f t="shared" ref="H113:H119" si="16">E113*G113</f>
        <v>257868</v>
      </c>
      <c r="I113" s="252">
        <v>0</v>
      </c>
      <c r="J113" s="253">
        <f t="shared" ref="J113:J119" si="17">E113*I113</f>
        <v>0</v>
      </c>
      <c r="K113" s="254">
        <f t="shared" ref="K113:K119" si="18">H113+J113</f>
        <v>257868</v>
      </c>
      <c r="L113" s="296"/>
      <c r="M113" s="165">
        <v>85956</v>
      </c>
      <c r="N113" s="186">
        <v>1.07</v>
      </c>
      <c r="O113" s="129"/>
      <c r="P113" s="150"/>
      <c r="Q113" s="138"/>
      <c r="R113" s="138"/>
      <c r="S113" s="138"/>
      <c r="T113" s="138"/>
    </row>
    <row r="114" spans="2:40" ht="20.100000000000001" customHeight="1" x14ac:dyDescent="0.55000000000000004">
      <c r="B114" s="297"/>
      <c r="C114" s="278" t="s">
        <v>404</v>
      </c>
      <c r="D114" s="279"/>
      <c r="E114" s="294"/>
      <c r="F114" s="298"/>
      <c r="G114" s="295"/>
      <c r="H114" s="251"/>
      <c r="I114" s="252"/>
      <c r="J114" s="253"/>
      <c r="K114" s="254"/>
      <c r="L114" s="296"/>
      <c r="M114" s="165"/>
      <c r="N114" s="186">
        <v>1.07</v>
      </c>
      <c r="O114" s="129"/>
      <c r="P114" s="150"/>
      <c r="Q114" s="138"/>
      <c r="R114" s="138"/>
      <c r="S114" s="138"/>
      <c r="T114" s="138"/>
    </row>
    <row r="115" spans="2:40" ht="20.100000000000001" customHeight="1" x14ac:dyDescent="0.55000000000000004">
      <c r="B115" s="297"/>
      <c r="C115" s="278" t="s">
        <v>307</v>
      </c>
      <c r="D115" s="279"/>
      <c r="E115" s="294">
        <v>3</v>
      </c>
      <c r="F115" s="298" t="s">
        <v>31</v>
      </c>
      <c r="G115" s="295">
        <v>9600</v>
      </c>
      <c r="H115" s="251">
        <f t="shared" si="16"/>
        <v>28800</v>
      </c>
      <c r="I115" s="252">
        <v>0</v>
      </c>
      <c r="J115" s="253">
        <f t="shared" si="17"/>
        <v>0</v>
      </c>
      <c r="K115" s="254">
        <f t="shared" si="18"/>
        <v>28800</v>
      </c>
      <c r="L115" s="296"/>
      <c r="M115" s="165">
        <v>9600</v>
      </c>
      <c r="N115" s="186">
        <v>1.07</v>
      </c>
      <c r="O115" s="129"/>
      <c r="P115" s="150"/>
      <c r="Q115" s="138"/>
      <c r="R115" s="138"/>
      <c r="S115" s="138"/>
      <c r="T115" s="138"/>
    </row>
    <row r="116" spans="2:40" ht="20.100000000000001" customHeight="1" x14ac:dyDescent="0.55000000000000004">
      <c r="B116" s="297"/>
      <c r="C116" s="278" t="s">
        <v>308</v>
      </c>
      <c r="D116" s="279"/>
      <c r="E116" s="294">
        <v>3</v>
      </c>
      <c r="F116" s="298" t="s">
        <v>31</v>
      </c>
      <c r="G116" s="295">
        <v>15000</v>
      </c>
      <c r="H116" s="251">
        <f t="shared" si="16"/>
        <v>45000</v>
      </c>
      <c r="I116" s="252">
        <v>0</v>
      </c>
      <c r="J116" s="253">
        <f t="shared" si="17"/>
        <v>0</v>
      </c>
      <c r="K116" s="254">
        <f t="shared" si="18"/>
        <v>45000</v>
      </c>
      <c r="L116" s="296"/>
      <c r="M116" s="165">
        <v>15000</v>
      </c>
      <c r="N116" s="186">
        <v>1.07</v>
      </c>
      <c r="O116" s="129"/>
      <c r="P116" s="150"/>
      <c r="Q116" s="138"/>
      <c r="R116" s="138"/>
      <c r="S116" s="138"/>
      <c r="T116" s="138"/>
    </row>
    <row r="117" spans="2:40" ht="20.100000000000001" customHeight="1" x14ac:dyDescent="0.55000000000000004">
      <c r="B117" s="297"/>
      <c r="C117" s="278" t="s">
        <v>309</v>
      </c>
      <c r="D117" s="279"/>
      <c r="E117" s="294">
        <v>3</v>
      </c>
      <c r="F117" s="298" t="s">
        <v>31</v>
      </c>
      <c r="G117" s="295">
        <v>39000</v>
      </c>
      <c r="H117" s="251">
        <f t="shared" si="16"/>
        <v>117000</v>
      </c>
      <c r="I117" s="252">
        <v>0</v>
      </c>
      <c r="J117" s="253">
        <f t="shared" si="17"/>
        <v>0</v>
      </c>
      <c r="K117" s="254">
        <f t="shared" si="18"/>
        <v>117000</v>
      </c>
      <c r="L117" s="296"/>
      <c r="M117" s="165">
        <v>39000</v>
      </c>
      <c r="N117" s="186">
        <v>1.07</v>
      </c>
      <c r="O117" s="129"/>
      <c r="P117" s="150"/>
      <c r="Q117" s="138"/>
      <c r="R117" s="138"/>
      <c r="S117" s="138"/>
      <c r="T117" s="138"/>
    </row>
    <row r="118" spans="2:40" ht="20.100000000000001" customHeight="1" x14ac:dyDescent="0.55000000000000004">
      <c r="B118" s="297"/>
      <c r="C118" s="278" t="s">
        <v>310</v>
      </c>
      <c r="D118" s="279"/>
      <c r="E118" s="294">
        <v>3</v>
      </c>
      <c r="F118" s="298" t="s">
        <v>31</v>
      </c>
      <c r="G118" s="295">
        <v>3500</v>
      </c>
      <c r="H118" s="251">
        <f t="shared" si="16"/>
        <v>10500</v>
      </c>
      <c r="I118" s="252">
        <v>0</v>
      </c>
      <c r="J118" s="253">
        <f t="shared" si="17"/>
        <v>0</v>
      </c>
      <c r="K118" s="254">
        <f t="shared" si="18"/>
        <v>10500</v>
      </c>
      <c r="L118" s="296"/>
      <c r="M118" s="165">
        <v>3500</v>
      </c>
      <c r="N118" s="186">
        <v>1.07</v>
      </c>
      <c r="O118" s="129"/>
      <c r="P118" s="150"/>
      <c r="Q118" s="138"/>
      <c r="R118" s="138"/>
      <c r="S118" s="138"/>
      <c r="T118" s="138"/>
    </row>
    <row r="119" spans="2:40" ht="20.100000000000001" customHeight="1" x14ac:dyDescent="0.55000000000000004">
      <c r="B119" s="297"/>
      <c r="C119" s="278" t="s">
        <v>324</v>
      </c>
      <c r="D119" s="279"/>
      <c r="E119" s="294"/>
      <c r="F119" s="298"/>
      <c r="G119" s="295"/>
      <c r="H119" s="251">
        <f t="shared" si="16"/>
        <v>0</v>
      </c>
      <c r="I119" s="252"/>
      <c r="J119" s="253">
        <f t="shared" si="17"/>
        <v>0</v>
      </c>
      <c r="K119" s="254">
        <f t="shared" si="18"/>
        <v>0</v>
      </c>
      <c r="L119" s="296"/>
      <c r="M119" s="131"/>
      <c r="N119" s="186">
        <v>1.04928237557057</v>
      </c>
      <c r="O119" s="129"/>
      <c r="P119" s="150"/>
      <c r="Q119" s="138"/>
      <c r="R119" s="138"/>
      <c r="S119" s="138"/>
      <c r="T119" s="138"/>
    </row>
    <row r="120" spans="2:40" s="140" customFormat="1" ht="20.100000000000001" customHeight="1" thickBot="1" x14ac:dyDescent="0.6">
      <c r="B120" s="300"/>
      <c r="C120" s="404" t="s">
        <v>32</v>
      </c>
      <c r="D120" s="405"/>
      <c r="E120" s="301"/>
      <c r="F120" s="231"/>
      <c r="G120" s="302"/>
      <c r="H120" s="303"/>
      <c r="I120" s="304"/>
      <c r="J120" s="303"/>
      <c r="K120" s="305">
        <f>SUM(K13:K119)</f>
        <v>2810141.4936949997</v>
      </c>
      <c r="L120" s="306"/>
      <c r="M120" s="144">
        <v>271.27443708609201</v>
      </c>
      <c r="N120" s="187">
        <v>1.04827478123941</v>
      </c>
      <c r="O120" s="183">
        <v>1.2990999999999999</v>
      </c>
      <c r="P120" s="141"/>
      <c r="Q120" s="142"/>
      <c r="R120" s="142"/>
      <c r="S120" s="142"/>
      <c r="T120" s="142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  <c r="AN120" s="143"/>
    </row>
    <row r="121" spans="2:40" s="140" customFormat="1" ht="20.100000000000001" customHeight="1" thickTop="1" x14ac:dyDescent="0.5">
      <c r="B121" s="176"/>
      <c r="C121" s="176"/>
      <c r="D121" s="176"/>
      <c r="E121" s="177"/>
      <c r="F121" s="176"/>
      <c r="G121" s="178"/>
      <c r="H121" s="179"/>
      <c r="I121" s="180"/>
      <c r="J121" s="179"/>
      <c r="K121" s="179"/>
      <c r="L121" s="176"/>
      <c r="M121" s="176"/>
      <c r="O121" s="181"/>
      <c r="P121" s="182"/>
      <c r="Q121" s="142"/>
      <c r="R121" s="142"/>
      <c r="S121" s="142"/>
      <c r="T121" s="142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  <c r="AN121" s="143"/>
    </row>
    <row r="122" spans="2:40" ht="20.100000000000001" customHeight="1" x14ac:dyDescent="0.5">
      <c r="B122" s="166"/>
      <c r="C122" s="400"/>
      <c r="D122" s="400"/>
      <c r="E122" s="167"/>
      <c r="F122" s="168"/>
      <c r="G122" s="169"/>
      <c r="H122" s="170"/>
      <c r="I122" s="167"/>
      <c r="J122" s="170"/>
      <c r="M122" s="189" t="e">
        <f>SUM(#REF!)</f>
        <v>#REF!</v>
      </c>
      <c r="P122" s="171"/>
      <c r="Q122" s="151"/>
      <c r="R122" s="151"/>
      <c r="S122" s="151"/>
      <c r="T122" s="151"/>
    </row>
    <row r="123" spans="2:40" ht="20.100000000000001" customHeight="1" x14ac:dyDescent="0.5">
      <c r="B123" s="119"/>
      <c r="C123" s="119"/>
      <c r="D123" s="119"/>
      <c r="E123" s="119"/>
      <c r="F123" s="119"/>
      <c r="G123" s="119"/>
      <c r="H123" s="403"/>
      <c r="I123" s="403"/>
      <c r="J123" s="403"/>
      <c r="K123" s="119"/>
      <c r="M123" s="170">
        <f>K120*O120</f>
        <v>3650654.8144591739</v>
      </c>
    </row>
    <row r="124" spans="2:40" ht="20.100000000000001" customHeight="1" x14ac:dyDescent="0.5">
      <c r="B124" s="119"/>
      <c r="C124" s="119"/>
      <c r="D124" s="119"/>
      <c r="E124" s="119"/>
      <c r="F124" s="119"/>
      <c r="G124" s="119"/>
      <c r="H124" s="119"/>
      <c r="I124" s="172"/>
      <c r="J124" s="119"/>
      <c r="K124" s="119"/>
      <c r="O124" s="122">
        <f>+K76*1.1</f>
        <v>1467.1800000000003</v>
      </c>
      <c r="P124" s="123">
        <f>+O124-K76</f>
        <v>133.38000000000011</v>
      </c>
    </row>
    <row r="125" spans="2:40" ht="20.100000000000001" customHeight="1" x14ac:dyDescent="0.5">
      <c r="B125" s="119"/>
      <c r="C125" s="119"/>
      <c r="D125" s="119"/>
      <c r="E125" s="119"/>
      <c r="F125" s="119"/>
      <c r="G125" s="119"/>
      <c r="H125" s="403"/>
      <c r="I125" s="403"/>
      <c r="J125" s="403"/>
      <c r="K125" s="119"/>
      <c r="M125" s="188" t="e">
        <f>M120+M122*1.07</f>
        <v>#REF!</v>
      </c>
    </row>
    <row r="126" spans="2:40" ht="20.100000000000001" customHeight="1" x14ac:dyDescent="0.5">
      <c r="B126" s="119"/>
      <c r="C126" s="403"/>
      <c r="D126" s="403"/>
      <c r="E126" s="119"/>
      <c r="F126" s="119"/>
      <c r="G126" s="119"/>
      <c r="H126" s="119"/>
      <c r="I126" s="119"/>
      <c r="J126" s="119"/>
      <c r="K126" s="119"/>
      <c r="O126" s="173"/>
    </row>
    <row r="127" spans="2:40" ht="20.100000000000001" customHeight="1" x14ac:dyDescent="0.5">
      <c r="L127" s="174"/>
      <c r="M127" s="174"/>
      <c r="O127" s="173"/>
    </row>
    <row r="128" spans="2:40" ht="20.100000000000001" customHeight="1" x14ac:dyDescent="0.5">
      <c r="L128" s="174"/>
      <c r="M128" s="174"/>
      <c r="O128" s="173"/>
    </row>
    <row r="129" spans="12:15" ht="20.100000000000001" customHeight="1" x14ac:dyDescent="0.5">
      <c r="L129" s="174"/>
      <c r="M129" s="174"/>
      <c r="O129" s="173"/>
    </row>
    <row r="130" spans="12:15" ht="20.100000000000001" customHeight="1" x14ac:dyDescent="0.5">
      <c r="L130" s="174"/>
      <c r="M130" s="174"/>
      <c r="O130" s="173"/>
    </row>
    <row r="131" spans="12:15" ht="20.100000000000001" customHeight="1" x14ac:dyDescent="0.5">
      <c r="L131" s="174"/>
      <c r="M131" s="174"/>
      <c r="O131" s="173"/>
    </row>
    <row r="132" spans="12:15" ht="20.100000000000001" customHeight="1" x14ac:dyDescent="0.5"/>
  </sheetData>
  <mergeCells count="126">
    <mergeCell ref="Y48:Z48"/>
    <mergeCell ref="C73:D73"/>
    <mergeCell ref="C61:D61"/>
    <mergeCell ref="C56:D56"/>
    <mergeCell ref="C57:D57"/>
    <mergeCell ref="C58:D58"/>
    <mergeCell ref="O75:P75"/>
    <mergeCell ref="O84:P84"/>
    <mergeCell ref="C75:D75"/>
    <mergeCell ref="C79:D79"/>
    <mergeCell ref="C80:D80"/>
    <mergeCell ref="Q51:S51"/>
    <mergeCell ref="C52:D52"/>
    <mergeCell ref="C51:D51"/>
    <mergeCell ref="C76:D76"/>
    <mergeCell ref="C70:D70"/>
    <mergeCell ref="O76:P76"/>
    <mergeCell ref="C74:D74"/>
    <mergeCell ref="C54:D54"/>
    <mergeCell ref="C59:D59"/>
    <mergeCell ref="Q50:S50"/>
    <mergeCell ref="C53:D53"/>
    <mergeCell ref="C55:D55"/>
    <mergeCell ref="C50:D50"/>
    <mergeCell ref="U29:X29"/>
    <mergeCell ref="C49:D49"/>
    <mergeCell ref="C30:D30"/>
    <mergeCell ref="C31:D31"/>
    <mergeCell ref="C41:D41"/>
    <mergeCell ref="U44:X44"/>
    <mergeCell ref="Q35:T35"/>
    <mergeCell ref="C35:D35"/>
    <mergeCell ref="C38:D38"/>
    <mergeCell ref="C42:D42"/>
    <mergeCell ref="Q47:S47"/>
    <mergeCell ref="Q48:S48"/>
    <mergeCell ref="Q49:S49"/>
    <mergeCell ref="B2:L2"/>
    <mergeCell ref="L9:L10"/>
    <mergeCell ref="C9:D10"/>
    <mergeCell ref="E9:E10"/>
    <mergeCell ref="F9:F10"/>
    <mergeCell ref="G9:H9"/>
    <mergeCell ref="I9:J9"/>
    <mergeCell ref="C48:D48"/>
    <mergeCell ref="C44:D44"/>
    <mergeCell ref="C32:D32"/>
    <mergeCell ref="C27:D27"/>
    <mergeCell ref="C21:D21"/>
    <mergeCell ref="C19:D19"/>
    <mergeCell ref="C45:D45"/>
    <mergeCell ref="C34:D34"/>
    <mergeCell ref="C33:D33"/>
    <mergeCell ref="C36:D36"/>
    <mergeCell ref="C37:D37"/>
    <mergeCell ref="C39:D39"/>
    <mergeCell ref="C43:D43"/>
    <mergeCell ref="D6:I6"/>
    <mergeCell ref="O9:P9"/>
    <mergeCell ref="C29:D29"/>
    <mergeCell ref="C18:D18"/>
    <mergeCell ref="C28:D28"/>
    <mergeCell ref="C20:D20"/>
    <mergeCell ref="C11:D11"/>
    <mergeCell ref="C16:D16"/>
    <mergeCell ref="C26:D26"/>
    <mergeCell ref="C17:D17"/>
    <mergeCell ref="C25:D25"/>
    <mergeCell ref="C12:D12"/>
    <mergeCell ref="C13:D13"/>
    <mergeCell ref="C23:D23"/>
    <mergeCell ref="C24:D24"/>
    <mergeCell ref="C15:D15"/>
    <mergeCell ref="C14:D14"/>
    <mergeCell ref="C22:D22"/>
    <mergeCell ref="C62:D62"/>
    <mergeCell ref="C63:D63"/>
    <mergeCell ref="C69:D69"/>
    <mergeCell ref="C71:D71"/>
    <mergeCell ref="C72:D72"/>
    <mergeCell ref="Q52:S52"/>
    <mergeCell ref="R55:S55"/>
    <mergeCell ref="R58:S58"/>
    <mergeCell ref="R57:S57"/>
    <mergeCell ref="R56:S56"/>
    <mergeCell ref="C60:D60"/>
    <mergeCell ref="O61:P61"/>
    <mergeCell ref="C64:D64"/>
    <mergeCell ref="C65:D65"/>
    <mergeCell ref="C122:D122"/>
    <mergeCell ref="C91:D91"/>
    <mergeCell ref="C92:D92"/>
    <mergeCell ref="C126:D126"/>
    <mergeCell ref="H123:J123"/>
    <mergeCell ref="H125:J125"/>
    <mergeCell ref="C93:D93"/>
    <mergeCell ref="C96:D96"/>
    <mergeCell ref="C97:D97"/>
    <mergeCell ref="C120:D120"/>
    <mergeCell ref="C107:D107"/>
    <mergeCell ref="C108:D108"/>
    <mergeCell ref="C95:D95"/>
    <mergeCell ref="C100:D100"/>
    <mergeCell ref="C102:D102"/>
    <mergeCell ref="C103:D103"/>
    <mergeCell ref="C98:D98"/>
    <mergeCell ref="C101:D101"/>
    <mergeCell ref="C109:D109"/>
    <mergeCell ref="C110:D110"/>
    <mergeCell ref="C111:D111"/>
    <mergeCell ref="C77:D77"/>
    <mergeCell ref="C78:D78"/>
    <mergeCell ref="C90:D90"/>
    <mergeCell ref="C104:D104"/>
    <mergeCell ref="C105:D105"/>
    <mergeCell ref="C106:D106"/>
    <mergeCell ref="C99:D99"/>
    <mergeCell ref="C81:D81"/>
    <mergeCell ref="C88:D88"/>
    <mergeCell ref="C87:D87"/>
    <mergeCell ref="C82:D82"/>
    <mergeCell ref="C83:D83"/>
    <mergeCell ref="C89:D89"/>
    <mergeCell ref="C86:D86"/>
    <mergeCell ref="C84:D84"/>
    <mergeCell ref="C85:D85"/>
  </mergeCells>
  <phoneticPr fontId="16" type="noConversion"/>
  <printOptions horizontalCentered="1"/>
  <pageMargins left="0" right="0" top="0.39370078740157483" bottom="0.39370078740157483" header="0" footer="0"/>
  <pageSetup paperSize="9" scale="80" orientation="landscape" r:id="rId1"/>
  <rowBreaks count="3" manualBreakCount="3">
    <brk id="30" min="1" max="11" man="1"/>
    <brk id="61" min="1" max="11" man="1"/>
    <brk id="92" min="1" max="11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9"/>
  <sheetViews>
    <sheetView view="pageBreakPreview" zoomScaleSheetLayoutView="100" workbookViewId="0">
      <selection activeCell="M17" sqref="M17"/>
    </sheetView>
  </sheetViews>
  <sheetFormatPr defaultRowHeight="20.25" x14ac:dyDescent="0.3"/>
  <cols>
    <col min="1" max="1" width="0.85546875" style="1" customWidth="1"/>
    <col min="2" max="2" width="11" style="1" customWidth="1"/>
    <col min="3" max="3" width="13.140625" style="1" customWidth="1"/>
    <col min="4" max="4" width="15.7109375" style="1" customWidth="1"/>
    <col min="5" max="5" width="12.5703125" style="1" customWidth="1"/>
    <col min="6" max="6" width="4.7109375" style="1" customWidth="1"/>
    <col min="7" max="7" width="15.85546875" style="1" customWidth="1"/>
    <col min="8" max="8" width="17.42578125" style="1" customWidth="1"/>
    <col min="9" max="9" width="19.5703125" style="1" customWidth="1"/>
    <col min="10" max="10" width="16.7109375" style="1" customWidth="1"/>
    <col min="11" max="11" width="11.5703125" style="1" customWidth="1"/>
    <col min="12" max="16384" width="9.140625" style="1"/>
  </cols>
  <sheetData>
    <row r="1" spans="2:10" ht="29.25" customHeight="1" thickBot="1" x14ac:dyDescent="0.4">
      <c r="B1" s="196"/>
      <c r="C1" s="443" t="s">
        <v>345</v>
      </c>
      <c r="D1" s="443"/>
      <c r="E1" s="443"/>
      <c r="F1" s="443"/>
      <c r="G1" s="443"/>
      <c r="H1" s="443"/>
      <c r="I1" s="443"/>
      <c r="J1" s="213" t="s">
        <v>334</v>
      </c>
    </row>
    <row r="2" spans="2:10" ht="20.100000000000001" customHeight="1" thickTop="1" x14ac:dyDescent="0.3">
      <c r="B2" s="214" t="s">
        <v>338</v>
      </c>
      <c r="C2" s="3"/>
      <c r="D2" s="1" t="str">
        <f>ปร.4!D3</f>
        <v>กรมป้องกันและบรรเทาสาธารณภัย</v>
      </c>
      <c r="J2" s="191"/>
    </row>
    <row r="3" spans="2:10" ht="20.100000000000001" customHeight="1" x14ac:dyDescent="0.3">
      <c r="B3" s="208" t="s">
        <v>4</v>
      </c>
      <c r="C3" s="193"/>
      <c r="D3" s="11" t="str">
        <f>ปร.4!D4</f>
        <v xml:space="preserve">ก่อสร้างอาคารเก็บสะพานเบลี่ย์ และวัสดุอุปกรณ์พร้อมโอเวอร์เฮดเครน </v>
      </c>
      <c r="E3" s="11"/>
      <c r="F3" s="11"/>
      <c r="G3" s="11"/>
      <c r="H3" s="11"/>
      <c r="I3" s="11"/>
      <c r="J3" s="11"/>
    </row>
    <row r="4" spans="2:10" ht="20.100000000000001" customHeight="1" x14ac:dyDescent="0.3">
      <c r="B4" s="208" t="s">
        <v>339</v>
      </c>
      <c r="C4" s="193"/>
      <c r="D4" s="11" t="str">
        <f>ปร.4!D6</f>
        <v>ศูนย์ป้องกันและบรรเทาสาธารณภัย เขต 13 อุบลราชธานี ตำบลขามใหญ่ อำเภอเมืองอุบลราชธานี จังหวัดอุบลราชธานี</v>
      </c>
      <c r="E4" s="11"/>
      <c r="F4" s="11"/>
      <c r="G4" s="11"/>
      <c r="H4" s="11"/>
      <c r="I4" s="11"/>
      <c r="J4" s="11"/>
    </row>
    <row r="5" spans="2:10" ht="20.100000000000001" customHeight="1" x14ac:dyDescent="0.3">
      <c r="B5" s="208" t="s">
        <v>340</v>
      </c>
      <c r="C5" s="193"/>
      <c r="D5" s="11" t="str">
        <f>ปร.4!D6</f>
        <v>ศูนย์ป้องกันและบรรเทาสาธารณภัย เขต 13 อุบลราชธานี ตำบลขามใหญ่ อำเภอเมืองอุบลราชธานี จังหวัดอุบลราชธานี</v>
      </c>
      <c r="E5" s="11"/>
      <c r="F5" s="11"/>
      <c r="G5" s="11"/>
      <c r="H5" s="11"/>
      <c r="I5" s="11"/>
      <c r="J5" s="11"/>
    </row>
    <row r="6" spans="2:10" ht="20.100000000000001" customHeight="1" x14ac:dyDescent="0.3">
      <c r="B6" s="210" t="s">
        <v>344</v>
      </c>
      <c r="C6" s="193"/>
      <c r="D6" s="11" t="s">
        <v>342</v>
      </c>
      <c r="E6" s="11"/>
      <c r="F6" s="11"/>
      <c r="G6" s="11"/>
      <c r="H6" s="11"/>
      <c r="I6" s="11"/>
      <c r="J6" s="11"/>
    </row>
    <row r="7" spans="2:10" ht="20.100000000000001" customHeight="1" x14ac:dyDescent="0.3">
      <c r="B7" s="208" t="s">
        <v>341</v>
      </c>
      <c r="C7" s="193"/>
      <c r="D7" s="215" t="str">
        <f>ปร.4!D7</f>
        <v>ศอบ.08/2566</v>
      </c>
      <c r="E7" s="463"/>
      <c r="F7" s="463"/>
      <c r="G7" s="463"/>
      <c r="H7" s="463"/>
      <c r="I7" s="11"/>
      <c r="J7" s="11"/>
    </row>
    <row r="8" spans="2:10" ht="20.100000000000001" customHeight="1" x14ac:dyDescent="0.3">
      <c r="B8" s="193" t="s">
        <v>25</v>
      </c>
      <c r="C8" s="193"/>
      <c r="D8" s="11"/>
      <c r="E8" s="11"/>
      <c r="F8" s="11"/>
      <c r="G8" s="217" t="s">
        <v>2</v>
      </c>
      <c r="H8" s="216">
        <v>4</v>
      </c>
      <c r="I8" s="11" t="s">
        <v>27</v>
      </c>
      <c r="J8" s="11"/>
    </row>
    <row r="9" spans="2:10" ht="20.100000000000001" customHeight="1" x14ac:dyDescent="0.3">
      <c r="B9" s="193" t="s">
        <v>51</v>
      </c>
      <c r="C9" s="193"/>
      <c r="D9" s="11" t="str">
        <f>ปร.4!D8</f>
        <v>วันที่  11 มิถุนายน 2567</v>
      </c>
      <c r="E9" s="218"/>
      <c r="F9" s="218"/>
      <c r="G9" s="11"/>
      <c r="H9" s="11"/>
      <c r="I9" s="11"/>
      <c r="J9" s="11"/>
    </row>
    <row r="10" spans="2:10" ht="9.9499999999999993" customHeight="1" thickBot="1" x14ac:dyDescent="0.35"/>
    <row r="11" spans="2:10" s="3" customFormat="1" ht="20.100000000000001" customHeight="1" thickTop="1" x14ac:dyDescent="0.3">
      <c r="B11" s="464" t="s">
        <v>7</v>
      </c>
      <c r="C11" s="466" t="s">
        <v>0</v>
      </c>
      <c r="D11" s="467"/>
      <c r="E11" s="468"/>
      <c r="F11" s="455" t="s">
        <v>13</v>
      </c>
      <c r="G11" s="456"/>
      <c r="H11" s="472" t="s">
        <v>14</v>
      </c>
      <c r="I11" s="31" t="s">
        <v>33</v>
      </c>
      <c r="J11" s="453" t="s">
        <v>3</v>
      </c>
    </row>
    <row r="12" spans="2:10" s="3" customFormat="1" ht="20.100000000000001" customHeight="1" thickBot="1" x14ac:dyDescent="0.35">
      <c r="B12" s="465"/>
      <c r="C12" s="469"/>
      <c r="D12" s="470"/>
      <c r="E12" s="471"/>
      <c r="F12" s="457" t="s">
        <v>41</v>
      </c>
      <c r="G12" s="458"/>
      <c r="H12" s="473"/>
      <c r="I12" s="32" t="s">
        <v>41</v>
      </c>
      <c r="J12" s="454"/>
    </row>
    <row r="13" spans="2:10" ht="20.100000000000001" customHeight="1" thickTop="1" x14ac:dyDescent="0.3">
      <c r="B13" s="33">
        <v>1</v>
      </c>
      <c r="C13" s="34" t="s">
        <v>8</v>
      </c>
      <c r="D13" s="35"/>
      <c r="E13" s="36"/>
      <c r="F13" s="447">
        <f>ปร.4!K120</f>
        <v>2810141.4936949997</v>
      </c>
      <c r="G13" s="448"/>
      <c r="H13" s="66">
        <v>1.2994000000000001</v>
      </c>
      <c r="I13" s="63">
        <f>F13*H13</f>
        <v>3651497.856907283</v>
      </c>
      <c r="J13" s="37"/>
    </row>
    <row r="14" spans="2:10" ht="20.100000000000001" customHeight="1" x14ac:dyDescent="0.3">
      <c r="B14" s="38">
        <v>2</v>
      </c>
      <c r="C14" s="10" t="s">
        <v>10</v>
      </c>
      <c r="D14" s="11"/>
      <c r="E14" s="12"/>
      <c r="F14" s="449">
        <v>0</v>
      </c>
      <c r="G14" s="450"/>
      <c r="H14" s="67">
        <v>0</v>
      </c>
      <c r="I14" s="30">
        <f>F14*H14</f>
        <v>0</v>
      </c>
      <c r="J14" s="39"/>
    </row>
    <row r="15" spans="2:10" ht="20.100000000000001" customHeight="1" x14ac:dyDescent="0.3">
      <c r="B15" s="38">
        <v>3</v>
      </c>
      <c r="C15" s="10" t="s">
        <v>17</v>
      </c>
      <c r="D15" s="11"/>
      <c r="E15" s="12"/>
      <c r="F15" s="449">
        <v>0</v>
      </c>
      <c r="G15" s="450"/>
      <c r="H15" s="67">
        <v>0</v>
      </c>
      <c r="I15" s="30">
        <f>F15*H15</f>
        <v>0</v>
      </c>
      <c r="J15" s="39"/>
    </row>
    <row r="16" spans="2:10" ht="20.100000000000001" customHeight="1" x14ac:dyDescent="0.3">
      <c r="B16" s="40">
        <v>4</v>
      </c>
      <c r="C16" s="14" t="s">
        <v>9</v>
      </c>
      <c r="D16" s="15"/>
      <c r="E16" s="16"/>
      <c r="F16" s="474">
        <v>0</v>
      </c>
      <c r="G16" s="475"/>
      <c r="H16" s="68">
        <v>0</v>
      </c>
      <c r="I16" s="64">
        <f>F16*H16</f>
        <v>0</v>
      </c>
      <c r="J16" s="41"/>
    </row>
    <row r="17" spans="2:10" ht="20.100000000000001" customHeight="1" x14ac:dyDescent="0.3">
      <c r="B17" s="42"/>
      <c r="C17" s="19" t="s">
        <v>11</v>
      </c>
      <c r="D17" s="20"/>
      <c r="E17" s="21"/>
      <c r="F17" s="444"/>
      <c r="G17" s="445"/>
      <c r="H17" s="22"/>
      <c r="I17" s="20"/>
      <c r="J17" s="43"/>
    </row>
    <row r="18" spans="2:10" ht="20.100000000000001" customHeight="1" x14ac:dyDescent="0.3">
      <c r="B18" s="44"/>
      <c r="C18" s="10" t="s">
        <v>28</v>
      </c>
      <c r="D18" s="11"/>
      <c r="E18" s="12"/>
      <c r="F18" s="459"/>
      <c r="G18" s="460"/>
      <c r="H18" s="23"/>
      <c r="I18" s="11"/>
      <c r="J18" s="39"/>
    </row>
    <row r="19" spans="2:10" ht="20.100000000000001" customHeight="1" x14ac:dyDescent="0.3">
      <c r="B19" s="44"/>
      <c r="C19" s="10" t="s">
        <v>15</v>
      </c>
      <c r="D19" s="11"/>
      <c r="E19" s="12"/>
      <c r="F19" s="459"/>
      <c r="G19" s="460"/>
      <c r="H19" s="23"/>
      <c r="I19" s="11"/>
      <c r="J19" s="39"/>
    </row>
    <row r="20" spans="2:10" ht="20.100000000000001" customHeight="1" x14ac:dyDescent="0.3">
      <c r="B20" s="44"/>
      <c r="C20" s="10" t="s">
        <v>16</v>
      </c>
      <c r="D20" s="11"/>
      <c r="E20" s="12"/>
      <c r="F20" s="459"/>
      <c r="G20" s="460"/>
      <c r="H20" s="23"/>
      <c r="I20" s="11"/>
      <c r="J20" s="39"/>
    </row>
    <row r="21" spans="2:10" ht="20.100000000000001" customHeight="1" thickBot="1" x14ac:dyDescent="0.35">
      <c r="B21" s="219"/>
      <c r="C21" s="53" t="s">
        <v>43</v>
      </c>
      <c r="D21" s="54"/>
      <c r="E21" s="220"/>
      <c r="F21" s="461"/>
      <c r="G21" s="462"/>
      <c r="H21" s="221"/>
      <c r="I21" s="54"/>
      <c r="J21" s="204"/>
    </row>
    <row r="22" spans="2:10" ht="20.100000000000001" customHeight="1" thickTop="1" x14ac:dyDescent="0.3">
      <c r="B22" s="198" t="s">
        <v>12</v>
      </c>
      <c r="C22" s="7" t="s">
        <v>18</v>
      </c>
      <c r="D22" s="8"/>
      <c r="E22" s="8"/>
      <c r="F22" s="8"/>
      <c r="G22" s="8"/>
      <c r="H22" s="9"/>
      <c r="I22" s="199">
        <f>SUM(I13:I21)</f>
        <v>3651497.856907283</v>
      </c>
      <c r="J22" s="200"/>
    </row>
    <row r="23" spans="2:10" ht="20.100000000000001" customHeight="1" thickBot="1" x14ac:dyDescent="0.35">
      <c r="B23" s="48"/>
      <c r="C23" s="10" t="s">
        <v>34</v>
      </c>
      <c r="D23" s="11"/>
      <c r="E23" s="11"/>
      <c r="F23" s="11"/>
      <c r="G23" s="11"/>
      <c r="H23" s="11"/>
      <c r="I23" s="62">
        <f>+ROUND(I22,-3)</f>
        <v>3651000</v>
      </c>
      <c r="J23" s="49"/>
    </row>
    <row r="24" spans="2:10" ht="20.100000000000001" customHeight="1" thickTop="1" x14ac:dyDescent="0.3">
      <c r="B24" s="50"/>
      <c r="C24" s="14" t="s">
        <v>35</v>
      </c>
      <c r="D24" s="451" t="str">
        <f>"("&amp;BAHTTEXT(I23)&amp;")"</f>
        <v>(สามล้านหกแสนห้าหมื่นหนึ่งพันบาทถ้วน)</v>
      </c>
      <c r="E24" s="451"/>
      <c r="F24" s="451"/>
      <c r="G24" s="451"/>
      <c r="H24" s="451"/>
      <c r="I24" s="451"/>
      <c r="J24" s="452"/>
    </row>
    <row r="25" spans="2:10" ht="20.100000000000001" customHeight="1" x14ac:dyDescent="0.3">
      <c r="B25" s="51"/>
      <c r="C25" s="24" t="s">
        <v>36</v>
      </c>
      <c r="D25" s="20"/>
      <c r="E25" s="446">
        <v>400</v>
      </c>
      <c r="F25" s="446"/>
      <c r="G25" s="20" t="s">
        <v>22</v>
      </c>
      <c r="H25" s="20"/>
      <c r="I25" s="26"/>
      <c r="J25" s="47"/>
    </row>
    <row r="26" spans="2:10" ht="20.100000000000001" customHeight="1" x14ac:dyDescent="0.3">
      <c r="B26" s="50"/>
      <c r="C26" s="10" t="s">
        <v>37</v>
      </c>
      <c r="D26" s="11"/>
      <c r="E26" s="476">
        <f>I22/E25</f>
        <v>9128.7446422682078</v>
      </c>
      <c r="F26" s="476"/>
      <c r="G26" s="11" t="s">
        <v>39</v>
      </c>
      <c r="H26" s="11"/>
      <c r="I26" s="27"/>
      <c r="J26" s="49"/>
    </row>
    <row r="27" spans="2:10" ht="20.100000000000001" customHeight="1" thickBot="1" x14ac:dyDescent="0.35">
      <c r="B27" s="52"/>
      <c r="C27" s="53" t="s">
        <v>38</v>
      </c>
      <c r="D27" s="54"/>
      <c r="E27" s="478">
        <v>150</v>
      </c>
      <c r="F27" s="478"/>
      <c r="G27" s="54" t="s">
        <v>40</v>
      </c>
      <c r="H27" s="54"/>
      <c r="I27" s="54"/>
      <c r="J27" s="55"/>
    </row>
    <row r="28" spans="2:10" ht="19.5" customHeight="1" thickTop="1" x14ac:dyDescent="0.3"/>
    <row r="29" spans="2:10" ht="19.5" customHeight="1" x14ac:dyDescent="0.3"/>
    <row r="30" spans="2:10" ht="19.5" customHeight="1" x14ac:dyDescent="0.3"/>
    <row r="31" spans="2:10" ht="19.5" customHeight="1" x14ac:dyDescent="0.3"/>
    <row r="32" spans="2:10" ht="19.5" customHeight="1" x14ac:dyDescent="0.3"/>
    <row r="33" spans="3:9" ht="19.5" customHeight="1" x14ac:dyDescent="0.3"/>
    <row r="34" spans="3:9" ht="19.5" customHeight="1" x14ac:dyDescent="0.3"/>
    <row r="35" spans="3:9" s="2" customFormat="1" ht="16.5" customHeight="1" x14ac:dyDescent="0.3">
      <c r="G35" s="479"/>
      <c r="H35" s="479"/>
      <c r="I35" s="5"/>
    </row>
    <row r="36" spans="3:9" s="2" customFormat="1" ht="18.95" customHeight="1" x14ac:dyDescent="0.3">
      <c r="C36" s="4"/>
      <c r="E36" s="477"/>
      <c r="F36" s="477"/>
      <c r="G36" s="477"/>
      <c r="H36" s="477"/>
    </row>
    <row r="37" spans="3:9" s="2" customFormat="1" ht="18.95" customHeight="1" x14ac:dyDescent="0.3">
      <c r="E37" s="477"/>
      <c r="F37" s="477"/>
      <c r="G37" s="477"/>
      <c r="H37" s="477"/>
    </row>
    <row r="38" spans="3:9" s="2" customFormat="1" ht="18.95" customHeight="1" x14ac:dyDescent="0.3"/>
    <row r="39" spans="3:9" s="2" customFormat="1" ht="18.95" customHeight="1" x14ac:dyDescent="0.3">
      <c r="F39" s="477"/>
      <c r="G39" s="477"/>
      <c r="H39" s="477"/>
    </row>
    <row r="40" spans="3:9" s="2" customFormat="1" ht="18.95" customHeight="1" x14ac:dyDescent="0.3">
      <c r="E40" s="477"/>
      <c r="F40" s="477"/>
      <c r="G40" s="477"/>
      <c r="H40" s="477"/>
    </row>
    <row r="41" spans="3:9" s="2" customFormat="1" ht="18.95" customHeight="1" x14ac:dyDescent="0.3">
      <c r="E41" s="477"/>
      <c r="F41" s="477"/>
      <c r="G41" s="477"/>
      <c r="H41" s="477"/>
    </row>
    <row r="42" spans="3:9" s="2" customFormat="1" ht="18.95" customHeight="1" x14ac:dyDescent="0.3"/>
    <row r="43" spans="3:9" s="2" customFormat="1" ht="18.95" customHeight="1" x14ac:dyDescent="0.3">
      <c r="G43" s="477"/>
      <c r="H43" s="477"/>
    </row>
    <row r="44" spans="3:9" s="2" customFormat="1" ht="18.95" customHeight="1" x14ac:dyDescent="0.3">
      <c r="E44" s="477"/>
      <c r="F44" s="477"/>
      <c r="G44" s="477"/>
      <c r="H44" s="477"/>
    </row>
    <row r="45" spans="3:9" s="2" customFormat="1" ht="18.75" customHeight="1" x14ac:dyDescent="0.3">
      <c r="C45" s="2" t="s">
        <v>233</v>
      </c>
      <c r="D45" s="477"/>
      <c r="E45" s="477"/>
      <c r="F45" s="477"/>
      <c r="G45" s="477"/>
      <c r="H45" s="477"/>
      <c r="I45" s="477"/>
    </row>
    <row r="46" spans="3:9" s="2" customFormat="1" ht="18.95" customHeight="1" x14ac:dyDescent="0.3">
      <c r="D46" s="477"/>
      <c r="E46" s="477"/>
      <c r="F46" s="477"/>
      <c r="G46" s="477"/>
      <c r="H46" s="477"/>
      <c r="I46" s="477"/>
    </row>
    <row r="47" spans="3:9" s="2" customFormat="1" ht="18.95" customHeight="1" x14ac:dyDescent="0.3">
      <c r="E47" s="477"/>
      <c r="F47" s="477"/>
      <c r="G47" s="477"/>
      <c r="H47" s="477"/>
    </row>
    <row r="48" spans="3:9" s="2" customFormat="1" ht="18.95" customHeight="1" x14ac:dyDescent="0.3">
      <c r="E48" s="477"/>
      <c r="F48" s="477"/>
      <c r="G48" s="477"/>
    </row>
    <row r="49" spans="5:7" s="2" customFormat="1" ht="18.95" customHeight="1" x14ac:dyDescent="0.3">
      <c r="E49" s="477" t="s">
        <v>233</v>
      </c>
      <c r="F49" s="477"/>
      <c r="G49" s="477"/>
    </row>
  </sheetData>
  <mergeCells count="34">
    <mergeCell ref="E26:F26"/>
    <mergeCell ref="E49:G49"/>
    <mergeCell ref="E27:F27"/>
    <mergeCell ref="E48:G48"/>
    <mergeCell ref="D45:I45"/>
    <mergeCell ref="D46:I46"/>
    <mergeCell ref="E47:H47"/>
    <mergeCell ref="E44:H44"/>
    <mergeCell ref="E36:H36"/>
    <mergeCell ref="G35:H35"/>
    <mergeCell ref="G43:H43"/>
    <mergeCell ref="E40:H40"/>
    <mergeCell ref="E41:H41"/>
    <mergeCell ref="F39:H39"/>
    <mergeCell ref="E37:H37"/>
    <mergeCell ref="B11:B12"/>
    <mergeCell ref="C11:E12"/>
    <mergeCell ref="H11:H12"/>
    <mergeCell ref="F15:G15"/>
    <mergeCell ref="F16:G16"/>
    <mergeCell ref="C1:I1"/>
    <mergeCell ref="F17:G17"/>
    <mergeCell ref="E25:F25"/>
    <mergeCell ref="F13:G13"/>
    <mergeCell ref="F14:G14"/>
    <mergeCell ref="D24:J24"/>
    <mergeCell ref="J11:J12"/>
    <mergeCell ref="F11:G11"/>
    <mergeCell ref="F12:G12"/>
    <mergeCell ref="F20:G20"/>
    <mergeCell ref="F21:G21"/>
    <mergeCell ref="F18:G18"/>
    <mergeCell ref="F19:G19"/>
    <mergeCell ref="E7:H7"/>
  </mergeCells>
  <phoneticPr fontId="0" type="noConversion"/>
  <printOptions horizontalCentered="1"/>
  <pageMargins left="0.39370078740157483" right="0.19685039370078741" top="0.39370078740157483" bottom="0" header="0" footer="0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49"/>
  <sheetViews>
    <sheetView view="pageBreakPreview" zoomScaleSheetLayoutView="100" workbookViewId="0">
      <selection activeCell="Q18" sqref="Q18"/>
    </sheetView>
  </sheetViews>
  <sheetFormatPr defaultRowHeight="20.25" x14ac:dyDescent="0.3"/>
  <cols>
    <col min="1" max="1" width="0.85546875" style="1" customWidth="1"/>
    <col min="2" max="2" width="9.7109375" style="1" customWidth="1"/>
    <col min="3" max="3" width="14.85546875" style="1" customWidth="1"/>
    <col min="4" max="4" width="15.28515625" style="1" customWidth="1"/>
    <col min="5" max="5" width="8.7109375" style="1" customWidth="1"/>
    <col min="6" max="6" width="4.7109375" style="1" customWidth="1"/>
    <col min="7" max="7" width="15.7109375" style="1" customWidth="1"/>
    <col min="8" max="8" width="11.7109375" style="1" customWidth="1"/>
    <col min="9" max="9" width="21.7109375" style="1" customWidth="1"/>
    <col min="10" max="10" width="17.7109375" style="1" customWidth="1"/>
    <col min="11" max="11" width="1.5703125" style="1" customWidth="1"/>
    <col min="12" max="16384" width="9.140625" style="1"/>
  </cols>
  <sheetData>
    <row r="1" spans="2:10" ht="31.5" customHeight="1" thickBot="1" x14ac:dyDescent="0.4">
      <c r="B1" s="195" t="s">
        <v>233</v>
      </c>
      <c r="C1" s="195"/>
      <c r="D1" s="195"/>
      <c r="E1" s="196" t="s">
        <v>337</v>
      </c>
      <c r="F1" s="195"/>
      <c r="G1" s="195"/>
      <c r="H1" s="195"/>
      <c r="I1" s="195"/>
      <c r="J1" s="213" t="s">
        <v>49</v>
      </c>
    </row>
    <row r="2" spans="2:10" ht="21.75" customHeight="1" thickTop="1" x14ac:dyDescent="0.3">
      <c r="B2" s="207" t="s">
        <v>338</v>
      </c>
      <c r="C2" s="3"/>
      <c r="D2" s="1" t="str">
        <f>ปร.4!D5</f>
        <v>กรมป้องกันและบรรเทาสาธารณภัย</v>
      </c>
      <c r="F2" s="8"/>
      <c r="H2" s="8"/>
      <c r="I2" s="8"/>
      <c r="J2" s="191"/>
    </row>
    <row r="3" spans="2:10" ht="21.75" customHeight="1" x14ac:dyDescent="0.3">
      <c r="B3" s="208" t="s">
        <v>4</v>
      </c>
      <c r="C3" s="192"/>
      <c r="D3" s="15" t="str">
        <f>+ปร.4!D4</f>
        <v xml:space="preserve">ก่อสร้างอาคารเก็บสะพานเบลี่ย์ และวัสดุอุปกรณ์พร้อมโอเวอร์เฮดเครน </v>
      </c>
      <c r="E3" s="11"/>
      <c r="G3" s="15"/>
      <c r="H3" s="11"/>
      <c r="J3" s="11"/>
    </row>
    <row r="4" spans="2:10" ht="21.75" customHeight="1" x14ac:dyDescent="0.3">
      <c r="B4" s="208" t="s">
        <v>339</v>
      </c>
      <c r="C4" s="192"/>
      <c r="D4" s="11" t="str">
        <f>ปร.4!D6</f>
        <v>ศูนย์ป้องกันและบรรเทาสาธารณภัย เขต 13 อุบลราชธานี ตำบลขามใหญ่ อำเภอเมืองอุบลราชธานี จังหวัดอุบลราชธานี</v>
      </c>
      <c r="F4" s="11"/>
      <c r="G4" s="15"/>
      <c r="H4" s="11"/>
      <c r="I4" s="15"/>
    </row>
    <row r="5" spans="2:10" ht="21.75" customHeight="1" x14ac:dyDescent="0.3">
      <c r="B5" s="209" t="s">
        <v>340</v>
      </c>
      <c r="C5" s="192"/>
      <c r="D5" s="11" t="str">
        <f>ปร.4!D6</f>
        <v>ศูนย์ป้องกันและบรรเทาสาธารณภัย เขต 13 อุบลราชธานี ตำบลขามใหญ่ อำเภอเมืองอุบลราชธานี จังหวัดอุบลราชธานี</v>
      </c>
      <c r="E5" s="11"/>
      <c r="F5" s="11"/>
      <c r="G5" s="15"/>
      <c r="H5" s="11"/>
      <c r="I5" s="15"/>
      <c r="J5" s="15"/>
    </row>
    <row r="6" spans="2:10" ht="21.75" customHeight="1" x14ac:dyDescent="0.3">
      <c r="B6" s="210" t="s">
        <v>344</v>
      </c>
      <c r="C6" s="193"/>
      <c r="D6" s="1" t="s">
        <v>342</v>
      </c>
      <c r="G6" s="15"/>
      <c r="I6" s="11"/>
      <c r="J6" s="11"/>
    </row>
    <row r="7" spans="2:10" ht="21.75" customHeight="1" x14ac:dyDescent="0.3">
      <c r="B7" s="208" t="s">
        <v>341</v>
      </c>
      <c r="C7" s="193"/>
      <c r="D7" s="11" t="s">
        <v>236</v>
      </c>
      <c r="E7" s="480"/>
      <c r="F7" s="480"/>
      <c r="G7" s="480"/>
      <c r="H7" s="480"/>
      <c r="I7" s="480"/>
      <c r="J7" s="11"/>
    </row>
    <row r="8" spans="2:10" ht="21.75" customHeight="1" x14ac:dyDescent="0.3">
      <c r="B8" s="211" t="s">
        <v>51</v>
      </c>
      <c r="C8" s="194"/>
      <c r="D8" s="8" t="str">
        <f>ปร.4!D8</f>
        <v>วันที่  11 มิถุนายน 2567</v>
      </c>
      <c r="E8" s="197"/>
      <c r="F8" s="197"/>
      <c r="G8" s="8"/>
      <c r="H8" s="8"/>
      <c r="I8" s="8"/>
      <c r="J8" s="8"/>
    </row>
    <row r="9" spans="2:10" ht="9.9499999999999993" customHeight="1" thickBot="1" x14ac:dyDescent="0.35"/>
    <row r="10" spans="2:10" s="3" customFormat="1" ht="20.100000000000001" customHeight="1" thickTop="1" x14ac:dyDescent="0.3">
      <c r="B10" s="464" t="s">
        <v>7</v>
      </c>
      <c r="C10" s="466" t="s">
        <v>0</v>
      </c>
      <c r="D10" s="467"/>
      <c r="E10" s="467"/>
      <c r="F10" s="467"/>
      <c r="G10" s="467"/>
      <c r="H10" s="468"/>
      <c r="I10" s="31" t="s">
        <v>33</v>
      </c>
      <c r="J10" s="453" t="s">
        <v>3</v>
      </c>
    </row>
    <row r="11" spans="2:10" s="3" customFormat="1" ht="20.100000000000001" customHeight="1" thickBot="1" x14ac:dyDescent="0.35">
      <c r="B11" s="465"/>
      <c r="C11" s="469"/>
      <c r="D11" s="470"/>
      <c r="E11" s="470"/>
      <c r="F11" s="470"/>
      <c r="G11" s="470"/>
      <c r="H11" s="471"/>
      <c r="I11" s="32" t="s">
        <v>41</v>
      </c>
      <c r="J11" s="454"/>
    </row>
    <row r="12" spans="2:10" ht="23.25" customHeight="1" thickTop="1" x14ac:dyDescent="0.3">
      <c r="B12" s="59">
        <v>1</v>
      </c>
      <c r="C12" s="7" t="s">
        <v>45</v>
      </c>
      <c r="D12" s="8"/>
      <c r="E12" s="8"/>
      <c r="F12" s="482" t="s">
        <v>48</v>
      </c>
      <c r="G12" s="482"/>
      <c r="H12" s="56"/>
      <c r="I12" s="63">
        <f>'ปร.5 ก'!I13</f>
        <v>3651497.856907283</v>
      </c>
      <c r="J12" s="61"/>
    </row>
    <row r="13" spans="2:10" ht="23.25" customHeight="1" x14ac:dyDescent="0.3">
      <c r="B13" s="38">
        <v>2</v>
      </c>
      <c r="C13" s="10" t="s">
        <v>44</v>
      </c>
      <c r="D13" s="11"/>
      <c r="E13" s="11"/>
      <c r="F13" s="483" t="s">
        <v>48</v>
      </c>
      <c r="G13" s="483"/>
      <c r="H13" s="57"/>
      <c r="I13" s="30">
        <f>'ปร.5 ข'!I17</f>
        <v>1423100</v>
      </c>
      <c r="J13" s="39"/>
    </row>
    <row r="14" spans="2:10" ht="23.25" customHeight="1" x14ac:dyDescent="0.3">
      <c r="B14" s="38">
        <v>3</v>
      </c>
      <c r="C14" s="10" t="s">
        <v>46</v>
      </c>
      <c r="D14" s="11"/>
      <c r="E14" s="11"/>
      <c r="F14" s="483" t="s">
        <v>48</v>
      </c>
      <c r="G14" s="483"/>
      <c r="H14" s="65"/>
      <c r="I14" s="30">
        <v>0</v>
      </c>
      <c r="J14" s="39"/>
    </row>
    <row r="15" spans="2:10" ht="23.25" customHeight="1" thickBot="1" x14ac:dyDescent="0.35">
      <c r="B15" s="201">
        <v>4</v>
      </c>
      <c r="C15" s="53" t="s">
        <v>47</v>
      </c>
      <c r="D15" s="54"/>
      <c r="E15" s="54"/>
      <c r="F15" s="484" t="s">
        <v>48</v>
      </c>
      <c r="G15" s="484"/>
      <c r="H15" s="202"/>
      <c r="I15" s="203">
        <f>แบบแสดงเหตุผล!D23</f>
        <v>233834.59000000003</v>
      </c>
      <c r="J15" s="204"/>
    </row>
    <row r="16" spans="2:10" ht="21.75" customHeight="1" thickTop="1" x14ac:dyDescent="0.3">
      <c r="B16" s="198" t="s">
        <v>12</v>
      </c>
      <c r="C16" s="7" t="s">
        <v>18</v>
      </c>
      <c r="D16" s="8"/>
      <c r="E16" s="8"/>
      <c r="F16" s="8"/>
      <c r="G16" s="8"/>
      <c r="H16" s="9"/>
      <c r="I16" s="199">
        <f>SUM(I12:I15)</f>
        <v>5308432.4469072828</v>
      </c>
      <c r="J16" s="200"/>
    </row>
    <row r="17" spans="2:10" ht="21.75" customHeight="1" thickBot="1" x14ac:dyDescent="0.35">
      <c r="B17" s="48"/>
      <c r="C17" s="10" t="s">
        <v>34</v>
      </c>
      <c r="D17" s="11"/>
      <c r="E17" s="11"/>
      <c r="F17" s="11"/>
      <c r="G17" s="193" t="s">
        <v>343</v>
      </c>
      <c r="H17" s="11"/>
      <c r="I17" s="62">
        <f>+ROUND(I16,-3)</f>
        <v>5308000</v>
      </c>
      <c r="J17" s="49"/>
    </row>
    <row r="18" spans="2:10" ht="21.75" customHeight="1" thickTop="1" thickBot="1" x14ac:dyDescent="0.35">
      <c r="B18" s="52"/>
      <c r="C18" s="53" t="s">
        <v>35</v>
      </c>
      <c r="D18" s="481" t="str">
        <f>"("&amp;BAHTTEXT(I17)&amp;")"</f>
        <v>(ห้าล้านสามแสนแปดพันบาทถ้วน)</v>
      </c>
      <c r="E18" s="481"/>
      <c r="F18" s="481"/>
      <c r="G18" s="481"/>
      <c r="H18" s="481"/>
      <c r="I18" s="195"/>
      <c r="J18" s="205"/>
    </row>
    <row r="19" spans="2:10" ht="20.100000000000001" customHeight="1" thickTop="1" x14ac:dyDescent="0.3">
      <c r="D19" s="206"/>
      <c r="E19" s="206"/>
      <c r="F19" s="206"/>
      <c r="G19" s="206"/>
      <c r="H19" s="206"/>
      <c r="I19" s="3"/>
      <c r="J19" s="3"/>
    </row>
    <row r="20" spans="2:10" ht="20.100000000000001" customHeight="1" x14ac:dyDescent="0.3">
      <c r="D20" s="206"/>
      <c r="E20" s="206"/>
      <c r="F20" s="206"/>
      <c r="G20" s="206"/>
      <c r="H20" s="206"/>
      <c r="I20" s="3"/>
      <c r="J20" s="3"/>
    </row>
    <row r="21" spans="2:10" ht="20.100000000000001" customHeight="1" x14ac:dyDescent="0.3">
      <c r="D21" s="206"/>
      <c r="E21" s="206"/>
      <c r="F21" s="206"/>
      <c r="G21" s="206"/>
      <c r="H21" s="206"/>
      <c r="I21" s="3"/>
      <c r="J21" s="3"/>
    </row>
    <row r="22" spans="2:10" ht="20.100000000000001" customHeight="1" x14ac:dyDescent="0.3">
      <c r="D22" s="206"/>
      <c r="E22" s="206"/>
      <c r="F22" s="206"/>
      <c r="G22" s="206"/>
      <c r="H22" s="206"/>
      <c r="I22" s="3"/>
      <c r="J22" s="3"/>
    </row>
    <row r="23" spans="2:10" ht="20.100000000000001" customHeight="1" x14ac:dyDescent="0.3">
      <c r="D23" s="206"/>
      <c r="E23" s="206"/>
      <c r="F23" s="206"/>
      <c r="G23" s="206"/>
      <c r="H23" s="206"/>
      <c r="I23" s="3"/>
      <c r="J23" s="3"/>
    </row>
    <row r="24" spans="2:10" ht="20.100000000000001" customHeight="1" x14ac:dyDescent="0.3">
      <c r="D24" s="206"/>
      <c r="E24" s="206"/>
      <c r="F24" s="206"/>
      <c r="G24" s="206"/>
      <c r="H24" s="206"/>
      <c r="I24" s="3"/>
      <c r="J24" s="3"/>
    </row>
    <row r="25" spans="2:10" ht="20.100000000000001" customHeight="1" x14ac:dyDescent="0.3"/>
    <row r="26" spans="2:10" s="2" customFormat="1" ht="20.100000000000001" customHeight="1" x14ac:dyDescent="0.3"/>
    <row r="27" spans="2:10" s="2" customFormat="1" ht="20.100000000000001" customHeight="1" x14ac:dyDescent="0.3">
      <c r="C27" s="4"/>
      <c r="E27" s="477"/>
      <c r="F27" s="477"/>
      <c r="G27" s="477"/>
      <c r="I27" s="5"/>
    </row>
    <row r="28" spans="2:10" s="2" customFormat="1" ht="20.100000000000001" customHeight="1" x14ac:dyDescent="0.3">
      <c r="E28" s="477"/>
      <c r="F28" s="477"/>
      <c r="G28" s="477"/>
    </row>
    <row r="29" spans="2:10" s="2" customFormat="1" ht="20.100000000000001" customHeight="1" x14ac:dyDescent="0.3"/>
    <row r="30" spans="2:10" s="2" customFormat="1" ht="20.100000000000001" customHeight="1" x14ac:dyDescent="0.3"/>
    <row r="31" spans="2:10" s="2" customFormat="1" ht="20.100000000000001" customHeight="1" x14ac:dyDescent="0.3">
      <c r="E31" s="477"/>
      <c r="F31" s="477"/>
      <c r="G31" s="477"/>
    </row>
    <row r="32" spans="2:10" s="2" customFormat="1" ht="20.100000000000001" customHeight="1" x14ac:dyDescent="0.3">
      <c r="E32" s="477"/>
      <c r="F32" s="477"/>
      <c r="G32" s="477"/>
    </row>
    <row r="33" spans="3:9" s="2" customFormat="1" ht="20.100000000000001" customHeight="1" x14ac:dyDescent="0.3"/>
    <row r="34" spans="3:9" s="2" customFormat="1" ht="20.100000000000001" customHeight="1" x14ac:dyDescent="0.3"/>
    <row r="35" spans="3:9" s="2" customFormat="1" ht="20.100000000000001" customHeight="1" x14ac:dyDescent="0.3">
      <c r="E35" s="477"/>
      <c r="F35" s="477"/>
      <c r="G35" s="477"/>
    </row>
    <row r="36" spans="3:9" s="2" customFormat="1" ht="20.100000000000001" customHeight="1" x14ac:dyDescent="0.3">
      <c r="E36" s="477"/>
      <c r="F36" s="477"/>
      <c r="G36" s="477"/>
    </row>
    <row r="37" spans="3:9" s="2" customFormat="1" ht="20.100000000000001" customHeight="1" x14ac:dyDescent="0.3"/>
    <row r="38" spans="3:9" s="2" customFormat="1" ht="20.100000000000001" customHeight="1" x14ac:dyDescent="0.3">
      <c r="H38" s="190"/>
    </row>
    <row r="39" spans="3:9" s="2" customFormat="1" ht="20.100000000000001" customHeight="1" x14ac:dyDescent="0.3">
      <c r="E39" s="477"/>
      <c r="F39" s="477"/>
      <c r="G39" s="477"/>
    </row>
    <row r="40" spans="3:9" s="2" customFormat="1" ht="20.100000000000001" customHeight="1" x14ac:dyDescent="0.3">
      <c r="C40" s="477"/>
      <c r="D40" s="477"/>
      <c r="E40" s="477"/>
      <c r="F40" s="477"/>
      <c r="G40" s="477"/>
      <c r="H40" s="477"/>
      <c r="I40" s="477"/>
    </row>
    <row r="41" spans="3:9" s="2" customFormat="1" ht="20.100000000000001" customHeight="1" x14ac:dyDescent="0.3">
      <c r="C41" s="477"/>
      <c r="D41" s="477"/>
      <c r="E41" s="477"/>
      <c r="F41" s="477"/>
      <c r="G41" s="477"/>
      <c r="H41" s="477"/>
      <c r="I41" s="477"/>
    </row>
    <row r="42" spans="3:9" s="2" customFormat="1" ht="20.100000000000001" customHeight="1" x14ac:dyDescent="0.3">
      <c r="E42" s="477"/>
      <c r="F42" s="477"/>
      <c r="G42" s="477"/>
      <c r="H42" s="477"/>
    </row>
    <row r="43" spans="3:9" s="2" customFormat="1" ht="20.100000000000001" customHeight="1" x14ac:dyDescent="0.3">
      <c r="F43" s="58"/>
    </row>
    <row r="44" spans="3:9" s="2" customFormat="1" ht="20.100000000000001" customHeight="1" x14ac:dyDescent="0.3">
      <c r="F44" s="58"/>
    </row>
    <row r="45" spans="3:9" s="2" customFormat="1" ht="20.100000000000001" customHeight="1" x14ac:dyDescent="0.3">
      <c r="F45" s="58"/>
    </row>
    <row r="46" spans="3:9" s="2" customFormat="1" ht="20.100000000000001" customHeight="1" x14ac:dyDescent="0.3">
      <c r="F46" s="58"/>
    </row>
    <row r="47" spans="3:9" s="2" customFormat="1" ht="20.100000000000001" customHeight="1" x14ac:dyDescent="0.3"/>
    <row r="48" spans="3:9" s="2" customFormat="1" ht="20.100000000000001" customHeight="1" x14ac:dyDescent="0.3"/>
    <row r="49" s="2" customFormat="1" ht="20.100000000000001" customHeight="1" x14ac:dyDescent="0.3"/>
  </sheetData>
  <mergeCells count="19">
    <mergeCell ref="E42:H42"/>
    <mergeCell ref="E31:G31"/>
    <mergeCell ref="E32:G32"/>
    <mergeCell ref="E35:G35"/>
    <mergeCell ref="E36:G36"/>
    <mergeCell ref="E39:G39"/>
    <mergeCell ref="E28:G28"/>
    <mergeCell ref="C41:I41"/>
    <mergeCell ref="C40:I40"/>
    <mergeCell ref="E27:G27"/>
    <mergeCell ref="F12:G12"/>
    <mergeCell ref="F13:G13"/>
    <mergeCell ref="F14:G14"/>
    <mergeCell ref="F15:G15"/>
    <mergeCell ref="E7:I7"/>
    <mergeCell ref="B10:B11"/>
    <mergeCell ref="J10:J11"/>
    <mergeCell ref="C10:H11"/>
    <mergeCell ref="D18:H18"/>
  </mergeCells>
  <printOptions horizontalCentered="1"/>
  <pageMargins left="0.39370078740157483" right="0.19685039370078741" top="0.78740157480314965" bottom="0" header="0" footer="0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41"/>
  <sheetViews>
    <sheetView view="pageBreakPreview" topLeftCell="A4" zoomScaleSheetLayoutView="100" workbookViewId="0">
      <selection activeCell="I17" sqref="I17"/>
    </sheetView>
  </sheetViews>
  <sheetFormatPr defaultRowHeight="20.25" x14ac:dyDescent="0.3"/>
  <cols>
    <col min="1" max="1" width="0.85546875" style="1" customWidth="1"/>
    <col min="2" max="2" width="8.42578125" style="1" customWidth="1"/>
    <col min="3" max="3" width="14.7109375" style="1" customWidth="1"/>
    <col min="4" max="4" width="12.42578125" style="1" customWidth="1"/>
    <col min="5" max="5" width="14.85546875" style="1" customWidth="1"/>
    <col min="6" max="6" width="4.7109375" style="1" customWidth="1"/>
    <col min="7" max="7" width="15.7109375" style="1" customWidth="1"/>
    <col min="8" max="8" width="11.7109375" style="1" customWidth="1"/>
    <col min="9" max="9" width="21.7109375" style="1" customWidth="1"/>
    <col min="10" max="10" width="13.28515625" style="1" customWidth="1"/>
    <col min="11" max="11" width="1.7109375" style="1" customWidth="1"/>
    <col min="12" max="16384" width="9.140625" style="1"/>
  </cols>
  <sheetData>
    <row r="1" spans="2:10" ht="30" customHeight="1" x14ac:dyDescent="0.35">
      <c r="B1" s="6"/>
      <c r="C1" s="485" t="s">
        <v>370</v>
      </c>
      <c r="D1" s="485"/>
      <c r="E1" s="485"/>
      <c r="F1" s="485"/>
      <c r="G1" s="485"/>
      <c r="H1" s="485"/>
      <c r="I1" s="485"/>
      <c r="J1" s="212" t="s">
        <v>347</v>
      </c>
    </row>
    <row r="2" spans="2:10" ht="23.25" customHeight="1" thickBot="1" x14ac:dyDescent="0.35">
      <c r="B2" s="222" t="s">
        <v>338</v>
      </c>
      <c r="C2" s="195"/>
      <c r="D2" s="223" t="str">
        <f>ปร.4!D3</f>
        <v>กรมป้องกันและบรรเทาสาธารณภัย</v>
      </c>
      <c r="E2" s="223"/>
      <c r="F2" s="223"/>
      <c r="G2" s="223"/>
      <c r="H2" s="223"/>
      <c r="I2" s="223"/>
      <c r="J2" s="224"/>
    </row>
    <row r="3" spans="2:10" ht="23.25" customHeight="1" thickTop="1" x14ac:dyDescent="0.3">
      <c r="B3" s="225" t="s">
        <v>4</v>
      </c>
      <c r="C3" s="3"/>
      <c r="D3" s="1" t="str">
        <f>ปร.4!D4</f>
        <v xml:space="preserve">ก่อสร้างอาคารเก็บสะพานเบลี่ย์ และวัสดุอุปกรณ์พร้อมโอเวอร์เฮดเครน </v>
      </c>
    </row>
    <row r="4" spans="2:10" ht="23.25" customHeight="1" x14ac:dyDescent="0.3">
      <c r="B4" s="208" t="s">
        <v>339</v>
      </c>
      <c r="C4" s="193"/>
      <c r="D4" s="11" t="str">
        <f>ปร.4!D6</f>
        <v>ศูนย์ป้องกันและบรรเทาสาธารณภัย เขต 13 อุบลราชธานี ตำบลขามใหญ่ อำเภอเมืองอุบลราชธานี จังหวัดอุบลราชธานี</v>
      </c>
      <c r="E4" s="11"/>
      <c r="F4" s="11"/>
      <c r="G4" s="11"/>
      <c r="H4" s="11"/>
      <c r="I4" s="11"/>
      <c r="J4" s="11"/>
    </row>
    <row r="5" spans="2:10" ht="23.25" customHeight="1" x14ac:dyDescent="0.3">
      <c r="B5" s="208" t="s">
        <v>340</v>
      </c>
      <c r="C5" s="193"/>
      <c r="D5" s="11" t="str">
        <f>ปร.4!D6</f>
        <v>ศูนย์ป้องกันและบรรเทาสาธารณภัย เขต 13 อุบลราชธานี ตำบลขามใหญ่ อำเภอเมืองอุบลราชธานี จังหวัดอุบลราชธานี</v>
      </c>
      <c r="E5" s="11"/>
      <c r="F5" s="11"/>
      <c r="G5" s="11"/>
      <c r="H5" s="11"/>
      <c r="I5" s="11"/>
      <c r="J5" s="11"/>
    </row>
    <row r="6" spans="2:10" ht="23.25" customHeight="1" x14ac:dyDescent="0.3">
      <c r="B6" s="210" t="s">
        <v>344</v>
      </c>
      <c r="C6" s="193"/>
      <c r="D6" s="11" t="str">
        <f>'ปร.5 ก'!D6</f>
        <v>ส่วนป้องกันและปฏิบัติการ</v>
      </c>
      <c r="E6" s="11"/>
      <c r="F6" s="11"/>
      <c r="G6" s="11"/>
      <c r="H6" s="11"/>
      <c r="I6" s="11"/>
      <c r="J6" s="11"/>
    </row>
    <row r="7" spans="2:10" ht="23.25" customHeight="1" x14ac:dyDescent="0.3">
      <c r="B7" s="208" t="s">
        <v>341</v>
      </c>
      <c r="C7" s="193"/>
      <c r="D7" s="215" t="str">
        <f>ปร.4!D7</f>
        <v>ศอบ.08/2566</v>
      </c>
      <c r="E7" s="11"/>
      <c r="F7" s="11"/>
      <c r="G7" s="11"/>
      <c r="H7" s="11"/>
      <c r="I7" s="11"/>
      <c r="J7" s="11"/>
    </row>
    <row r="8" spans="2:10" ht="23.25" customHeight="1" x14ac:dyDescent="0.3">
      <c r="B8" s="193" t="s">
        <v>402</v>
      </c>
      <c r="C8" s="193"/>
      <c r="D8" s="11"/>
      <c r="E8" s="11"/>
      <c r="F8" s="11"/>
      <c r="G8" s="217" t="s">
        <v>2</v>
      </c>
      <c r="H8" s="216">
        <v>1</v>
      </c>
      <c r="I8" s="11" t="s">
        <v>27</v>
      </c>
      <c r="J8" s="11"/>
    </row>
    <row r="9" spans="2:10" ht="23.25" customHeight="1" x14ac:dyDescent="0.3">
      <c r="B9" s="193" t="s">
        <v>51</v>
      </c>
      <c r="C9" s="193"/>
      <c r="D9" s="11" t="str">
        <f>ปร.4!D8</f>
        <v>วันที่  11 มิถุนายน 2567</v>
      </c>
      <c r="E9" s="218"/>
      <c r="F9" s="218"/>
      <c r="G9" s="11"/>
      <c r="H9" s="11"/>
      <c r="I9" s="11"/>
      <c r="J9" s="11"/>
    </row>
    <row r="10" spans="2:10" ht="9.9499999999999993" customHeight="1" thickBot="1" x14ac:dyDescent="0.35"/>
    <row r="11" spans="2:10" s="3" customFormat="1" ht="23.25" customHeight="1" thickTop="1" x14ac:dyDescent="0.3">
      <c r="B11" s="464" t="s">
        <v>7</v>
      </c>
      <c r="C11" s="466" t="s">
        <v>0</v>
      </c>
      <c r="D11" s="467"/>
      <c r="E11" s="468"/>
      <c r="F11" s="455" t="s">
        <v>13</v>
      </c>
      <c r="G11" s="456"/>
      <c r="H11" s="472" t="s">
        <v>331</v>
      </c>
      <c r="I11" s="31" t="s">
        <v>33</v>
      </c>
      <c r="J11" s="453" t="s">
        <v>3</v>
      </c>
    </row>
    <row r="12" spans="2:10" s="3" customFormat="1" ht="23.25" customHeight="1" thickBot="1" x14ac:dyDescent="0.35">
      <c r="B12" s="465"/>
      <c r="C12" s="469"/>
      <c r="D12" s="470"/>
      <c r="E12" s="471"/>
      <c r="F12" s="457" t="s">
        <v>41</v>
      </c>
      <c r="G12" s="458"/>
      <c r="H12" s="473"/>
      <c r="I12" s="32" t="s">
        <v>41</v>
      </c>
      <c r="J12" s="454"/>
    </row>
    <row r="13" spans="2:10" ht="23.25" customHeight="1" thickTop="1" x14ac:dyDescent="0.3">
      <c r="B13" s="59">
        <v>1</v>
      </c>
      <c r="C13" s="7" t="s">
        <v>42</v>
      </c>
      <c r="D13" s="8"/>
      <c r="E13" s="9"/>
      <c r="F13" s="488">
        <f>'ปร.4 (ข)'!K18</f>
        <v>1330000</v>
      </c>
      <c r="G13" s="489"/>
      <c r="H13" s="29">
        <v>1.07</v>
      </c>
      <c r="I13" s="60">
        <f>F13*H13</f>
        <v>1423100</v>
      </c>
      <c r="J13" s="61"/>
    </row>
    <row r="14" spans="2:10" ht="23.25" customHeight="1" x14ac:dyDescent="0.3">
      <c r="B14" s="38"/>
      <c r="C14" s="10" t="s">
        <v>348</v>
      </c>
      <c r="D14" s="11"/>
      <c r="E14" s="12"/>
      <c r="F14" s="449"/>
      <c r="G14" s="450"/>
      <c r="H14" s="28"/>
      <c r="I14" s="13"/>
      <c r="J14" s="39"/>
    </row>
    <row r="15" spans="2:10" ht="23.25" customHeight="1" x14ac:dyDescent="0.3">
      <c r="B15" s="40"/>
      <c r="C15" s="14"/>
      <c r="D15" s="15"/>
      <c r="E15" s="16"/>
      <c r="F15" s="474"/>
      <c r="G15" s="475"/>
      <c r="H15" s="17"/>
      <c r="I15" s="18"/>
      <c r="J15" s="45"/>
    </row>
    <row r="16" spans="2:10" ht="23.25" customHeight="1" x14ac:dyDescent="0.3">
      <c r="B16" s="46" t="s">
        <v>12</v>
      </c>
      <c r="C16" s="24" t="s">
        <v>18</v>
      </c>
      <c r="D16" s="20"/>
      <c r="E16" s="20"/>
      <c r="F16" s="20"/>
      <c r="G16" s="20"/>
      <c r="H16" s="21"/>
      <c r="I16" s="25">
        <f>SUM(I13:I15)</f>
        <v>1423100</v>
      </c>
      <c r="J16" s="47"/>
    </row>
    <row r="17" spans="2:10" ht="23.25" customHeight="1" thickBot="1" x14ac:dyDescent="0.35">
      <c r="B17" s="48"/>
      <c r="C17" s="10" t="s">
        <v>34</v>
      </c>
      <c r="D17" s="11"/>
      <c r="E17" s="11"/>
      <c r="F17" s="11"/>
      <c r="G17" s="11"/>
      <c r="H17" s="11"/>
      <c r="I17" s="62">
        <f>I16</f>
        <v>1423100</v>
      </c>
      <c r="J17" s="49"/>
    </row>
    <row r="18" spans="2:10" ht="23.25" customHeight="1" thickTop="1" thickBot="1" x14ac:dyDescent="0.35">
      <c r="B18" s="52"/>
      <c r="C18" s="53" t="s">
        <v>35</v>
      </c>
      <c r="D18" s="486" t="str">
        <f>"("&amp;BAHTTEXT(I17)&amp;")"</f>
        <v>(หนึ่งล้านสี่แสนสองหมื่นสามพันหนึ่งร้อยบาทถ้วน)</v>
      </c>
      <c r="E18" s="486"/>
      <c r="F18" s="486"/>
      <c r="G18" s="486"/>
      <c r="H18" s="486"/>
      <c r="I18" s="486"/>
      <c r="J18" s="487"/>
    </row>
    <row r="19" spans="2:10" ht="20.100000000000001" customHeight="1" thickTop="1" x14ac:dyDescent="0.3">
      <c r="D19" s="206"/>
      <c r="E19" s="206"/>
      <c r="F19" s="206"/>
      <c r="G19" s="206"/>
      <c r="H19" s="206"/>
      <c r="I19" s="206"/>
      <c r="J19" s="206"/>
    </row>
    <row r="20" spans="2:10" ht="20.100000000000001" customHeight="1" x14ac:dyDescent="0.3">
      <c r="D20" s="206"/>
      <c r="E20" s="206"/>
      <c r="F20" s="206"/>
      <c r="G20" s="206"/>
      <c r="H20" s="206"/>
      <c r="I20" s="206"/>
      <c r="J20" s="206"/>
    </row>
    <row r="21" spans="2:10" ht="20.100000000000001" customHeight="1" x14ac:dyDescent="0.3"/>
    <row r="22" spans="2:10" s="2" customFormat="1" ht="20.100000000000001" customHeight="1" x14ac:dyDescent="0.3"/>
    <row r="23" spans="2:10" s="2" customFormat="1" ht="20.100000000000001" customHeight="1" x14ac:dyDescent="0.3">
      <c r="C23" s="4"/>
      <c r="E23" s="477"/>
      <c r="F23" s="477"/>
      <c r="G23" s="477"/>
    </row>
    <row r="24" spans="2:10" s="2" customFormat="1" ht="20.100000000000001" customHeight="1" x14ac:dyDescent="0.3">
      <c r="E24" s="477"/>
      <c r="F24" s="477"/>
      <c r="G24" s="477"/>
    </row>
    <row r="25" spans="2:10" s="2" customFormat="1" ht="20.100000000000001" customHeight="1" x14ac:dyDescent="0.3"/>
    <row r="26" spans="2:10" s="2" customFormat="1" ht="20.100000000000001" customHeight="1" x14ac:dyDescent="0.3"/>
    <row r="27" spans="2:10" s="2" customFormat="1" ht="20.100000000000001" customHeight="1" x14ac:dyDescent="0.3">
      <c r="E27" s="477"/>
      <c r="F27" s="477"/>
      <c r="G27" s="477"/>
    </row>
    <row r="28" spans="2:10" s="2" customFormat="1" ht="20.100000000000001" customHeight="1" x14ac:dyDescent="0.3">
      <c r="E28" s="477"/>
      <c r="F28" s="477"/>
      <c r="G28" s="477"/>
    </row>
    <row r="29" spans="2:10" s="2" customFormat="1" ht="20.100000000000001" customHeight="1" x14ac:dyDescent="0.3"/>
    <row r="30" spans="2:10" s="2" customFormat="1" ht="20.100000000000001" customHeight="1" x14ac:dyDescent="0.3"/>
    <row r="31" spans="2:10" s="2" customFormat="1" ht="20.100000000000001" customHeight="1" x14ac:dyDescent="0.3">
      <c r="E31" s="477"/>
      <c r="F31" s="477"/>
      <c r="G31" s="477"/>
    </row>
    <row r="32" spans="2:10" s="2" customFormat="1" ht="20.100000000000001" customHeight="1" x14ac:dyDescent="0.3">
      <c r="E32" s="477"/>
      <c r="F32" s="477"/>
      <c r="G32" s="477"/>
    </row>
    <row r="33" spans="3:9" s="2" customFormat="1" ht="20.100000000000001" customHeight="1" x14ac:dyDescent="0.3"/>
    <row r="34" spans="3:9" s="2" customFormat="1" ht="20.100000000000001" customHeight="1" x14ac:dyDescent="0.3"/>
    <row r="35" spans="3:9" s="2" customFormat="1" ht="20.100000000000001" customHeight="1" x14ac:dyDescent="0.3">
      <c r="E35" s="477"/>
      <c r="F35" s="477"/>
      <c r="G35" s="477"/>
    </row>
    <row r="36" spans="3:9" s="2" customFormat="1" ht="20.100000000000001" customHeight="1" x14ac:dyDescent="0.3">
      <c r="C36" s="490"/>
      <c r="D36" s="490"/>
      <c r="E36" s="490"/>
      <c r="F36" s="490"/>
      <c r="G36" s="490"/>
      <c r="H36" s="490"/>
      <c r="I36" s="490"/>
    </row>
    <row r="37" spans="3:9" s="2" customFormat="1" ht="20.100000000000001" customHeight="1" x14ac:dyDescent="0.3">
      <c r="C37" s="490"/>
      <c r="D37" s="490"/>
      <c r="E37" s="490"/>
      <c r="F37" s="490"/>
      <c r="G37" s="490"/>
      <c r="H37" s="490"/>
      <c r="I37" s="490"/>
    </row>
    <row r="38" spans="3:9" s="2" customFormat="1" ht="20.100000000000001" customHeight="1" x14ac:dyDescent="0.3"/>
    <row r="39" spans="3:9" ht="20.100000000000001" customHeight="1" x14ac:dyDescent="0.3"/>
    <row r="40" spans="3:9" ht="20.100000000000001" customHeight="1" x14ac:dyDescent="0.3"/>
    <row r="41" spans="3:9" ht="20.100000000000001" customHeight="1" x14ac:dyDescent="0.3"/>
  </sheetData>
  <mergeCells count="20">
    <mergeCell ref="C36:I36"/>
    <mergeCell ref="C37:I37"/>
    <mergeCell ref="E32:G32"/>
    <mergeCell ref="E35:G35"/>
    <mergeCell ref="E23:G23"/>
    <mergeCell ref="E24:G24"/>
    <mergeCell ref="E27:G27"/>
    <mergeCell ref="E28:G28"/>
    <mergeCell ref="E31:G31"/>
    <mergeCell ref="D18:J18"/>
    <mergeCell ref="F13:G13"/>
    <mergeCell ref="F14:G14"/>
    <mergeCell ref="F15:G15"/>
    <mergeCell ref="J11:J12"/>
    <mergeCell ref="F12:G12"/>
    <mergeCell ref="C1:I1"/>
    <mergeCell ref="B11:B12"/>
    <mergeCell ref="C11:E12"/>
    <mergeCell ref="F11:G11"/>
    <mergeCell ref="H11:H12"/>
  </mergeCells>
  <printOptions horizontalCentered="1"/>
  <pageMargins left="0.39370078740157483" right="0.19685039370078741" top="0.59055118110236227" bottom="0" header="0" footer="0"/>
  <pageSetup paperSize="9" scale="88" orientation="portrait" r:id="rId1"/>
  <headerFooter alignWithMargins="0"/>
  <colBreaks count="1" manualBreakCount="1">
    <brk id="11" max="4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2BF0-DA3E-438F-A61D-81CFE4E0A9BE}">
  <dimension ref="A1:H31"/>
  <sheetViews>
    <sheetView view="pageBreakPreview" zoomScaleNormal="100" zoomScaleSheetLayoutView="100" workbookViewId="0">
      <selection activeCell="I24" sqref="I24"/>
    </sheetView>
  </sheetViews>
  <sheetFormatPr defaultRowHeight="24" x14ac:dyDescent="0.55000000000000004"/>
  <cols>
    <col min="1" max="1" width="9.140625" style="226"/>
    <col min="2" max="2" width="7.5703125" style="226" customWidth="1"/>
    <col min="3" max="3" width="55.140625" style="226" customWidth="1"/>
    <col min="4" max="4" width="20.5703125" style="226" customWidth="1"/>
    <col min="5" max="5" width="22.7109375" style="226" customWidth="1"/>
    <col min="6" max="16384" width="9.140625" style="226"/>
  </cols>
  <sheetData>
    <row r="1" spans="1:8" x14ac:dyDescent="0.55000000000000004">
      <c r="E1" s="368" t="s">
        <v>399</v>
      </c>
    </row>
    <row r="2" spans="1:8" ht="27.75" x14ac:dyDescent="0.65">
      <c r="A2" s="492" t="s">
        <v>390</v>
      </c>
      <c r="B2" s="492"/>
      <c r="C2" s="492"/>
      <c r="D2" s="492"/>
      <c r="E2" s="492"/>
    </row>
    <row r="3" spans="1:8" ht="27.75" x14ac:dyDescent="0.65">
      <c r="A3" s="492" t="s">
        <v>391</v>
      </c>
      <c r="B3" s="492"/>
      <c r="C3" s="492"/>
      <c r="D3" s="492"/>
      <c r="E3" s="492"/>
    </row>
    <row r="4" spans="1:8" x14ac:dyDescent="0.55000000000000004">
      <c r="A4" s="330" t="s">
        <v>0</v>
      </c>
      <c r="C4" s="226" t="s">
        <v>332</v>
      </c>
    </row>
    <row r="5" spans="1:8" x14ac:dyDescent="0.55000000000000004">
      <c r="A5" s="308" t="s">
        <v>4</v>
      </c>
      <c r="B5" s="292"/>
      <c r="C5" s="292" t="s">
        <v>375</v>
      </c>
      <c r="D5" s="292"/>
      <c r="E5" s="292"/>
      <c r="F5" s="292"/>
      <c r="G5" s="292"/>
      <c r="H5" s="292"/>
    </row>
    <row r="6" spans="1:8" x14ac:dyDescent="0.55000000000000004">
      <c r="A6" s="308" t="s">
        <v>23</v>
      </c>
      <c r="B6" s="292"/>
      <c r="C6" s="292" t="str">
        <f>C4</f>
        <v>ค่าใช้จ่ายในการดำเนินการด้านขยายเขตไฟฟ้า</v>
      </c>
      <c r="D6" s="292"/>
      <c r="E6" s="292"/>
      <c r="F6" s="292"/>
      <c r="G6" s="292"/>
      <c r="H6" s="292"/>
    </row>
    <row r="7" spans="1:8" x14ac:dyDescent="0.55000000000000004">
      <c r="A7" s="308" t="s">
        <v>6</v>
      </c>
      <c r="B7" s="292"/>
      <c r="C7" s="292" t="s">
        <v>346</v>
      </c>
      <c r="D7" s="292"/>
      <c r="E7" s="292"/>
      <c r="F7" s="292"/>
      <c r="G7" s="292"/>
      <c r="H7" s="292"/>
    </row>
    <row r="8" spans="1:8" x14ac:dyDescent="0.55000000000000004">
      <c r="A8" s="308" t="s">
        <v>50</v>
      </c>
      <c r="B8" s="292"/>
      <c r="C8" s="292" t="str">
        <f>ปร.4!D8</f>
        <v>วันที่  11 มิถุนายน 2567</v>
      </c>
      <c r="D8" s="292"/>
      <c r="E8" s="292"/>
      <c r="F8" s="292"/>
      <c r="G8" s="292"/>
      <c r="H8" s="292"/>
    </row>
    <row r="9" spans="1:8" x14ac:dyDescent="0.55000000000000004">
      <c r="B9" s="330" t="s">
        <v>392</v>
      </c>
    </row>
    <row r="10" spans="1:8" x14ac:dyDescent="0.55000000000000004">
      <c r="B10" s="226" t="s">
        <v>400</v>
      </c>
    </row>
    <row r="11" spans="1:8" ht="6.75" customHeight="1" x14ac:dyDescent="0.55000000000000004"/>
    <row r="12" spans="1:8" ht="24.75" thickBot="1" x14ac:dyDescent="0.6">
      <c r="B12" s="330" t="s">
        <v>393</v>
      </c>
      <c r="E12" s="328" t="s">
        <v>378</v>
      </c>
    </row>
    <row r="13" spans="1:8" ht="33.75" customHeight="1" thickBot="1" x14ac:dyDescent="0.6">
      <c r="A13" s="370" t="s">
        <v>394</v>
      </c>
      <c r="B13" s="491" t="s">
        <v>395</v>
      </c>
      <c r="C13" s="491"/>
      <c r="D13" s="371" t="s">
        <v>2</v>
      </c>
      <c r="E13" s="372" t="s">
        <v>3</v>
      </c>
    </row>
    <row r="14" spans="1:8" x14ac:dyDescent="0.55000000000000004">
      <c r="A14" s="373"/>
      <c r="B14" s="374" t="s">
        <v>47</v>
      </c>
      <c r="C14" s="375"/>
      <c r="D14" s="382"/>
      <c r="E14" s="376"/>
    </row>
    <row r="15" spans="1:8" x14ac:dyDescent="0.55000000000000004">
      <c r="A15" s="377">
        <v>1</v>
      </c>
      <c r="B15" s="346" t="s">
        <v>332</v>
      </c>
      <c r="C15" s="292"/>
      <c r="D15" s="348">
        <v>218537</v>
      </c>
      <c r="E15" s="378"/>
    </row>
    <row r="16" spans="1:8" x14ac:dyDescent="0.55000000000000004">
      <c r="A16" s="377">
        <v>1.1000000000000001</v>
      </c>
      <c r="B16" s="335" t="s">
        <v>381</v>
      </c>
      <c r="C16" s="292"/>
      <c r="D16" s="349"/>
      <c r="E16" s="378"/>
    </row>
    <row r="17" spans="1:5" x14ac:dyDescent="0.55000000000000004">
      <c r="A17" s="377"/>
      <c r="B17" s="335" t="s">
        <v>382</v>
      </c>
      <c r="C17" s="292"/>
      <c r="D17" s="349"/>
      <c r="E17" s="378"/>
    </row>
    <row r="18" spans="1:5" x14ac:dyDescent="0.55000000000000004">
      <c r="A18" s="377"/>
      <c r="B18" s="335" t="s">
        <v>383</v>
      </c>
      <c r="C18" s="292"/>
      <c r="D18" s="349"/>
      <c r="E18" s="378"/>
    </row>
    <row r="19" spans="1:5" x14ac:dyDescent="0.55000000000000004">
      <c r="A19" s="377"/>
      <c r="B19" s="346" t="s">
        <v>384</v>
      </c>
      <c r="C19" s="292"/>
      <c r="D19" s="349"/>
      <c r="E19" s="378"/>
    </row>
    <row r="20" spans="1:5" ht="24.75" thickBot="1" x14ac:dyDescent="0.6">
      <c r="A20" s="379"/>
      <c r="B20" s="369" t="s">
        <v>385</v>
      </c>
      <c r="C20" s="380"/>
      <c r="D20" s="369"/>
      <c r="E20" s="381"/>
    </row>
    <row r="21" spans="1:5" ht="24.75" thickBot="1" x14ac:dyDescent="0.6">
      <c r="C21" s="307" t="s">
        <v>396</v>
      </c>
      <c r="D21" s="386">
        <v>218537</v>
      </c>
      <c r="E21" s="383"/>
    </row>
    <row r="22" spans="1:5" ht="25.5" thickTop="1" thickBot="1" x14ac:dyDescent="0.6">
      <c r="C22" s="307" t="s">
        <v>397</v>
      </c>
      <c r="D22" s="387">
        <v>1.07</v>
      </c>
      <c r="E22" s="384"/>
    </row>
    <row r="23" spans="1:5" ht="33" customHeight="1" thickTop="1" thickBot="1" x14ac:dyDescent="0.6">
      <c r="C23" s="307" t="s">
        <v>398</v>
      </c>
      <c r="D23" s="388">
        <f>D21*D22</f>
        <v>233834.59000000003</v>
      </c>
      <c r="E23" s="385"/>
    </row>
    <row r="24" spans="1:5" ht="52.5" customHeight="1" x14ac:dyDescent="0.55000000000000004"/>
    <row r="31" spans="1:5" ht="42" customHeight="1" x14ac:dyDescent="0.55000000000000004"/>
  </sheetData>
  <mergeCells count="3">
    <mergeCell ref="B13:C13"/>
    <mergeCell ref="A2:E2"/>
    <mergeCell ref="A3:E3"/>
  </mergeCells>
  <pageMargins left="0.7" right="0.7" top="0.75" bottom="0.75" header="0.3" footer="0.3"/>
  <pageSetup paperSize="9" scale="8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H19"/>
  <sheetViews>
    <sheetView view="pageBreakPreview" topLeftCell="A7" zoomScaleNormal="100" zoomScaleSheetLayoutView="100" workbookViewId="0">
      <selection activeCell="C9" sqref="C9:C10"/>
    </sheetView>
  </sheetViews>
  <sheetFormatPr defaultRowHeight="21.75" x14ac:dyDescent="0.5"/>
  <cols>
    <col min="1" max="1" width="3" customWidth="1"/>
    <col min="2" max="2" width="15.28515625" customWidth="1"/>
    <col min="3" max="3" width="64" customWidth="1"/>
    <col min="6" max="6" width="13" customWidth="1"/>
    <col min="7" max="7" width="20.42578125" customWidth="1"/>
  </cols>
  <sheetData>
    <row r="1" spans="2:34" s="98" customFormat="1" ht="30.75" customHeight="1" x14ac:dyDescent="0.65">
      <c r="B1" s="492" t="s">
        <v>379</v>
      </c>
      <c r="C1" s="492"/>
      <c r="D1" s="492"/>
      <c r="E1" s="492"/>
      <c r="F1" s="492"/>
      <c r="G1" s="307" t="s">
        <v>380</v>
      </c>
      <c r="I1" s="99"/>
      <c r="J1" s="100"/>
      <c r="K1" s="101"/>
      <c r="L1" s="101"/>
      <c r="M1" s="101"/>
      <c r="N1" s="101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</row>
    <row r="2" spans="2:34" s="98" customFormat="1" ht="30.75" customHeight="1" thickBot="1" x14ac:dyDescent="0.7">
      <c r="B2" s="418" t="s">
        <v>388</v>
      </c>
      <c r="C2" s="418"/>
      <c r="D2" s="418"/>
      <c r="E2" s="418"/>
      <c r="F2" s="418"/>
      <c r="G2" s="333"/>
      <c r="I2" s="99"/>
      <c r="J2" s="100"/>
      <c r="K2" s="101"/>
      <c r="L2" s="101"/>
      <c r="M2" s="101"/>
      <c r="N2" s="101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</row>
    <row r="3" spans="2:34" s="98" customFormat="1" ht="21" customHeight="1" thickTop="1" x14ac:dyDescent="0.55000000000000004">
      <c r="B3" s="330" t="s">
        <v>386</v>
      </c>
      <c r="C3" s="226" t="s">
        <v>26</v>
      </c>
      <c r="D3" s="226"/>
      <c r="E3" s="226"/>
      <c r="F3" s="226"/>
      <c r="G3" s="226"/>
      <c r="I3" s="99"/>
      <c r="J3" s="100"/>
      <c r="K3" s="101"/>
      <c r="L3" s="101"/>
      <c r="M3" s="101"/>
      <c r="N3" s="101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</row>
    <row r="4" spans="2:34" s="98" customFormat="1" ht="21" customHeight="1" x14ac:dyDescent="0.55000000000000004">
      <c r="B4" s="308" t="s">
        <v>4</v>
      </c>
      <c r="C4" s="292" t="str">
        <f>ปร.4!D4</f>
        <v xml:space="preserve">ก่อสร้างอาคารเก็บสะพานเบลี่ย์ และวัสดุอุปกรณ์พร้อมโอเวอร์เฮดเครน </v>
      </c>
      <c r="D4" s="292"/>
      <c r="E4" s="292"/>
      <c r="F4" s="292"/>
      <c r="G4" s="292"/>
      <c r="I4" s="99"/>
      <c r="J4" s="100"/>
      <c r="K4" s="101"/>
      <c r="L4" s="101"/>
      <c r="M4" s="101"/>
      <c r="N4" s="101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</row>
    <row r="5" spans="2:34" s="98" customFormat="1" ht="21" customHeight="1" x14ac:dyDescent="0.55000000000000004">
      <c r="B5" s="308" t="s">
        <v>23</v>
      </c>
      <c r="C5" s="292" t="str">
        <f>ปร.4!D6</f>
        <v>ศูนย์ป้องกันและบรรเทาสาธารณภัย เขต 13 อุบลราชธานี ตำบลขามใหญ่ อำเภอเมืองอุบลราชธานี จังหวัดอุบลราชธานี</v>
      </c>
      <c r="D5" s="292"/>
      <c r="E5" s="292"/>
      <c r="F5" s="292"/>
      <c r="G5" s="292"/>
      <c r="I5" s="99"/>
      <c r="J5" s="100"/>
      <c r="K5" s="101"/>
      <c r="L5" s="101"/>
      <c r="M5" s="101"/>
      <c r="N5" s="101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</row>
    <row r="6" spans="2:34" s="98" customFormat="1" ht="21" customHeight="1" x14ac:dyDescent="0.55000000000000004">
      <c r="B6" s="308" t="s">
        <v>6</v>
      </c>
      <c r="C6" s="332" t="str">
        <f>ปร.4!D6</f>
        <v>ศูนย์ป้องกันและบรรเทาสาธารณภัย เขต 13 อุบลราชธานี ตำบลขามใหญ่ อำเภอเมืองอุบลราชธานี จังหวัดอุบลราชธานี</v>
      </c>
      <c r="D6" s="332"/>
      <c r="E6" s="332"/>
      <c r="F6" s="332"/>
      <c r="G6" s="332"/>
      <c r="I6" s="99"/>
      <c r="J6" s="100"/>
      <c r="K6" s="101"/>
      <c r="L6" s="101"/>
      <c r="M6" s="101"/>
      <c r="N6" s="101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</row>
    <row r="7" spans="2:34" s="98" customFormat="1" ht="21" customHeight="1" x14ac:dyDescent="0.55000000000000004">
      <c r="B7" s="308" t="s">
        <v>24</v>
      </c>
      <c r="C7" s="310" t="s">
        <v>236</v>
      </c>
      <c r="D7" s="292"/>
      <c r="E7" s="292"/>
      <c r="F7" s="292"/>
      <c r="G7" s="292"/>
      <c r="I7" s="99"/>
      <c r="J7" s="100"/>
      <c r="K7" s="101"/>
      <c r="L7" s="101"/>
      <c r="M7" s="101"/>
      <c r="N7" s="101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</row>
    <row r="8" spans="2:34" s="98" customFormat="1" ht="21" customHeight="1" thickBot="1" x14ac:dyDescent="0.6">
      <c r="B8" s="336" t="s">
        <v>50</v>
      </c>
      <c r="C8" s="337" t="str">
        <f>ปร.4!D8</f>
        <v>วันที่  11 มิถุนายน 2567</v>
      </c>
      <c r="D8" s="337"/>
      <c r="E8" s="337"/>
      <c r="F8" s="337"/>
      <c r="G8" s="338" t="s">
        <v>378</v>
      </c>
      <c r="I8" s="99"/>
      <c r="J8" s="100"/>
      <c r="K8" s="101"/>
      <c r="L8" s="101"/>
      <c r="M8" s="101"/>
      <c r="N8" s="101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</row>
    <row r="9" spans="2:34" ht="24" customHeight="1" thickTop="1" x14ac:dyDescent="0.5">
      <c r="B9" s="498" t="s">
        <v>7</v>
      </c>
      <c r="C9" s="500" t="s">
        <v>0</v>
      </c>
      <c r="D9" s="500" t="s">
        <v>376</v>
      </c>
      <c r="E9" s="502" t="s">
        <v>1</v>
      </c>
      <c r="F9" s="334" t="s">
        <v>116</v>
      </c>
      <c r="G9" s="493" t="s">
        <v>3</v>
      </c>
    </row>
    <row r="10" spans="2:34" ht="22.5" thickBot="1" x14ac:dyDescent="0.55000000000000004">
      <c r="B10" s="499"/>
      <c r="C10" s="501"/>
      <c r="D10" s="501"/>
      <c r="E10" s="503"/>
      <c r="F10" s="339" t="s">
        <v>377</v>
      </c>
      <c r="G10" s="494"/>
    </row>
    <row r="11" spans="2:34" ht="24.75" thickTop="1" x14ac:dyDescent="0.55000000000000004">
      <c r="B11" s="342"/>
      <c r="C11" s="343" t="s">
        <v>47</v>
      </c>
      <c r="D11" s="344"/>
      <c r="E11" s="345"/>
      <c r="F11" s="344"/>
      <c r="G11" s="344"/>
    </row>
    <row r="12" spans="2:34" ht="24" x14ac:dyDescent="0.55000000000000004">
      <c r="B12" s="256">
        <v>1</v>
      </c>
      <c r="C12" s="346" t="s">
        <v>332</v>
      </c>
      <c r="D12" s="346">
        <v>1</v>
      </c>
      <c r="E12" s="347" t="s">
        <v>232</v>
      </c>
      <c r="F12" s="348">
        <v>218537</v>
      </c>
      <c r="G12" s="349"/>
    </row>
    <row r="13" spans="2:34" ht="24" x14ac:dyDescent="0.55000000000000004">
      <c r="B13" s="349">
        <v>1.1000000000000001</v>
      </c>
      <c r="C13" s="335" t="s">
        <v>381</v>
      </c>
      <c r="D13" s="335"/>
      <c r="E13" s="350"/>
      <c r="F13" s="349"/>
      <c r="G13" s="349"/>
    </row>
    <row r="14" spans="2:34" ht="24" x14ac:dyDescent="0.55000000000000004">
      <c r="B14" s="349"/>
      <c r="C14" s="335" t="s">
        <v>382</v>
      </c>
      <c r="D14" s="335"/>
      <c r="E14" s="350"/>
      <c r="F14" s="349"/>
      <c r="G14" s="349"/>
    </row>
    <row r="15" spans="2:34" ht="24" x14ac:dyDescent="0.55000000000000004">
      <c r="B15" s="349"/>
      <c r="C15" s="335" t="s">
        <v>383</v>
      </c>
      <c r="D15" s="335"/>
      <c r="E15" s="350"/>
      <c r="F15" s="349"/>
      <c r="G15" s="349"/>
    </row>
    <row r="16" spans="2:34" ht="24" x14ac:dyDescent="0.55000000000000004">
      <c r="B16" s="349"/>
      <c r="C16" s="346" t="s">
        <v>384</v>
      </c>
      <c r="D16" s="346"/>
      <c r="E16" s="350"/>
      <c r="F16" s="349"/>
      <c r="G16" s="349"/>
    </row>
    <row r="17" spans="2:7" ht="24.75" thickBot="1" x14ac:dyDescent="0.6">
      <c r="B17" s="351"/>
      <c r="C17" s="351" t="s">
        <v>385</v>
      </c>
      <c r="D17" s="351"/>
      <c r="E17" s="352"/>
      <c r="F17" s="351"/>
      <c r="G17" s="351"/>
    </row>
    <row r="18" spans="2:7" ht="39" customHeight="1" thickTop="1" thickBot="1" x14ac:dyDescent="0.6">
      <c r="B18" s="353"/>
      <c r="C18" s="495" t="s">
        <v>387</v>
      </c>
      <c r="D18" s="496"/>
      <c r="E18" s="497"/>
      <c r="F18" s="341">
        <f>SUM(F12:F17)</f>
        <v>218537</v>
      </c>
      <c r="G18" s="340"/>
    </row>
    <row r="19" spans="2:7" ht="22.5" thickTop="1" x14ac:dyDescent="0.5"/>
  </sheetData>
  <mergeCells count="8">
    <mergeCell ref="G9:G10"/>
    <mergeCell ref="C18:E18"/>
    <mergeCell ref="B1:F1"/>
    <mergeCell ref="B2:F2"/>
    <mergeCell ref="B9:B10"/>
    <mergeCell ref="C9:C10"/>
    <mergeCell ref="D9:D10"/>
    <mergeCell ref="E9:E10"/>
  </mergeCells>
  <pageMargins left="0.7" right="0.7" top="0.75" bottom="0.75" header="0.3" footer="0.3"/>
  <pageSetup paperSize="9" scale="72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M31"/>
  <sheetViews>
    <sheetView view="pageBreakPreview" topLeftCell="A10" zoomScaleNormal="100" zoomScaleSheetLayoutView="100" workbookViewId="0">
      <selection activeCell="O25" sqref="O25"/>
    </sheetView>
  </sheetViews>
  <sheetFormatPr defaultRowHeight="21" x14ac:dyDescent="0.45"/>
  <cols>
    <col min="1" max="1" width="0.85546875" style="98" customWidth="1"/>
    <col min="2" max="2" width="6.7109375" style="98" customWidth="1"/>
    <col min="3" max="3" width="8.7109375" style="98" customWidth="1"/>
    <col min="4" max="4" width="41.5703125" style="98" customWidth="1"/>
    <col min="5" max="5" width="11.140625" style="98" customWidth="1"/>
    <col min="6" max="6" width="7.7109375" style="98" customWidth="1"/>
    <col min="7" max="7" width="12.85546875" style="98" customWidth="1"/>
    <col min="8" max="8" width="13" style="98" customWidth="1"/>
    <col min="9" max="9" width="11.5703125" style="98" customWidth="1"/>
    <col min="10" max="10" width="9.7109375" style="98" customWidth="1"/>
    <col min="11" max="11" width="15.5703125" style="98" customWidth="1"/>
    <col min="12" max="12" width="11.7109375" style="98" customWidth="1"/>
    <col min="13" max="13" width="0.85546875" style="98" customWidth="1"/>
    <col min="14" max="14" width="11.7109375" style="99" customWidth="1"/>
    <col min="15" max="15" width="12.28515625" style="100" bestFit="1" customWidth="1"/>
    <col min="16" max="19" width="7.7109375" style="101" customWidth="1"/>
    <col min="20" max="21" width="11.28515625" style="102" customWidth="1"/>
    <col min="22" max="22" width="12.28515625" style="102" bestFit="1" customWidth="1"/>
    <col min="23" max="26" width="11.28515625" style="102" customWidth="1"/>
    <col min="27" max="27" width="9" style="102" bestFit="1" customWidth="1"/>
    <col min="28" max="28" width="9.28515625" style="102" bestFit="1" customWidth="1"/>
    <col min="29" max="36" width="7.7109375" style="102" customWidth="1"/>
    <col min="37" max="39" width="9.140625" style="102"/>
    <col min="40" max="16384" width="9.140625" style="98"/>
  </cols>
  <sheetData>
    <row r="1" spans="2:39" ht="20.100000000000001" customHeight="1" x14ac:dyDescent="0.55000000000000004"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307" t="s">
        <v>368</v>
      </c>
    </row>
    <row r="2" spans="2:39" ht="30.75" customHeight="1" thickBot="1" x14ac:dyDescent="0.7">
      <c r="B2" s="418" t="s">
        <v>369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2:39" ht="21" customHeight="1" thickTop="1" x14ac:dyDescent="0.55000000000000004">
      <c r="B3" s="330" t="s">
        <v>5</v>
      </c>
      <c r="C3" s="226"/>
      <c r="D3" s="226" t="s">
        <v>26</v>
      </c>
      <c r="E3" s="226"/>
      <c r="F3" s="226"/>
      <c r="G3" s="226"/>
      <c r="H3" s="226"/>
      <c r="I3" s="226"/>
      <c r="J3" s="226"/>
      <c r="K3" s="226"/>
      <c r="L3" s="226"/>
    </row>
    <row r="4" spans="2:39" ht="21" customHeight="1" x14ac:dyDescent="0.55000000000000004">
      <c r="B4" s="308" t="s">
        <v>4</v>
      </c>
      <c r="C4" s="292"/>
      <c r="D4" s="292" t="str">
        <f>ปร.4!D4</f>
        <v xml:space="preserve">ก่อสร้างอาคารเก็บสะพานเบลี่ย์ และวัสดุอุปกรณ์พร้อมโอเวอร์เฮดเครน </v>
      </c>
      <c r="E4" s="292"/>
      <c r="F4" s="292"/>
      <c r="G4" s="292"/>
      <c r="H4" s="292"/>
      <c r="I4" s="292"/>
      <c r="J4" s="292"/>
      <c r="K4" s="292"/>
      <c r="L4" s="309"/>
    </row>
    <row r="5" spans="2:39" ht="21" customHeight="1" x14ac:dyDescent="0.55000000000000004">
      <c r="B5" s="308" t="s">
        <v>23</v>
      </c>
      <c r="C5" s="292"/>
      <c r="D5" s="292" t="str">
        <f>ปร.4!D6</f>
        <v>ศูนย์ป้องกันและบรรเทาสาธารณภัย เขต 13 อุบลราชธานี ตำบลขามใหญ่ อำเภอเมืองอุบลราชธานี จังหวัดอุบลราชธานี</v>
      </c>
      <c r="E5" s="292"/>
      <c r="F5" s="292"/>
      <c r="G5" s="292"/>
      <c r="H5" s="292"/>
      <c r="I5" s="292"/>
      <c r="J5" s="292"/>
      <c r="K5" s="292"/>
      <c r="L5" s="309"/>
    </row>
    <row r="6" spans="2:39" ht="21" customHeight="1" x14ac:dyDescent="0.55000000000000004">
      <c r="B6" s="308" t="s">
        <v>6</v>
      </c>
      <c r="C6" s="292"/>
      <c r="D6" s="504" t="str">
        <f>ปร.4!D6</f>
        <v>ศูนย์ป้องกันและบรรเทาสาธารณภัย เขต 13 อุบลราชธานี ตำบลขามใหญ่ อำเภอเมืองอุบลราชธานี จังหวัดอุบลราชธานี</v>
      </c>
      <c r="E6" s="504"/>
      <c r="F6" s="504"/>
      <c r="G6" s="504"/>
      <c r="H6" s="504"/>
      <c r="I6" s="504"/>
      <c r="J6" s="292"/>
      <c r="K6" s="292"/>
      <c r="L6" s="309"/>
    </row>
    <row r="7" spans="2:39" ht="21" customHeight="1" x14ac:dyDescent="0.55000000000000004">
      <c r="B7" s="308" t="s">
        <v>24</v>
      </c>
      <c r="C7" s="292"/>
      <c r="D7" s="310" t="s">
        <v>236</v>
      </c>
      <c r="E7" s="292"/>
      <c r="F7" s="292"/>
      <c r="G7" s="292"/>
      <c r="H7" s="292"/>
      <c r="I7" s="292"/>
      <c r="J7" s="292"/>
      <c r="K7" s="292"/>
      <c r="L7" s="292"/>
    </row>
    <row r="8" spans="2:39" ht="21" customHeight="1" thickBot="1" x14ac:dyDescent="0.6">
      <c r="B8" s="308" t="s">
        <v>50</v>
      </c>
      <c r="C8" s="292"/>
      <c r="D8" s="292" t="str">
        <f>ปร.4!D8</f>
        <v>วันที่  11 มิถุนายน 2567</v>
      </c>
      <c r="E8" s="292"/>
      <c r="F8" s="292"/>
      <c r="G8" s="292"/>
      <c r="H8" s="292"/>
      <c r="I8" s="292"/>
      <c r="J8" s="292"/>
      <c r="K8" s="292"/>
      <c r="L8" s="292"/>
    </row>
    <row r="9" spans="2:39" ht="21" customHeight="1" thickTop="1" x14ac:dyDescent="0.55000000000000004">
      <c r="B9" s="227" t="s">
        <v>52</v>
      </c>
      <c r="C9" s="421" t="s">
        <v>0</v>
      </c>
      <c r="D9" s="422"/>
      <c r="E9" s="425" t="s">
        <v>2</v>
      </c>
      <c r="F9" s="427" t="s">
        <v>1</v>
      </c>
      <c r="G9" s="429" t="s">
        <v>349</v>
      </c>
      <c r="H9" s="430"/>
      <c r="I9" s="429" t="s">
        <v>350</v>
      </c>
      <c r="J9" s="431"/>
      <c r="K9" s="228" t="s">
        <v>19</v>
      </c>
      <c r="L9" s="419" t="s">
        <v>3</v>
      </c>
      <c r="N9" s="505" t="s">
        <v>62</v>
      </c>
      <c r="O9" s="505"/>
      <c r="P9" s="104"/>
      <c r="Q9" s="104"/>
    </row>
    <row r="10" spans="2:39" ht="21" customHeight="1" thickBot="1" x14ac:dyDescent="0.6">
      <c r="B10" s="229" t="s">
        <v>53</v>
      </c>
      <c r="C10" s="423"/>
      <c r="D10" s="424"/>
      <c r="E10" s="426"/>
      <c r="F10" s="428"/>
      <c r="G10" s="230" t="s">
        <v>30</v>
      </c>
      <c r="H10" s="231" t="s">
        <v>20</v>
      </c>
      <c r="I10" s="389" t="s">
        <v>30</v>
      </c>
      <c r="J10" s="390" t="s">
        <v>20</v>
      </c>
      <c r="K10" s="233" t="s">
        <v>21</v>
      </c>
      <c r="L10" s="420"/>
      <c r="N10" s="103" t="s">
        <v>63</v>
      </c>
      <c r="O10" s="105" t="s">
        <v>64</v>
      </c>
    </row>
    <row r="11" spans="2:39" ht="25.5" customHeight="1" thickTop="1" x14ac:dyDescent="0.55000000000000004">
      <c r="B11" s="361" t="s">
        <v>233</v>
      </c>
      <c r="C11" s="506" t="s">
        <v>371</v>
      </c>
      <c r="D11" s="507"/>
      <c r="E11" s="252"/>
      <c r="F11" s="256"/>
      <c r="G11" s="257"/>
      <c r="H11" s="258"/>
      <c r="I11" s="252"/>
      <c r="J11" s="259"/>
      <c r="K11" s="260"/>
      <c r="L11" s="366"/>
      <c r="N11" s="106"/>
      <c r="O11" s="107"/>
      <c r="P11" s="108" t="s">
        <v>57</v>
      </c>
      <c r="Q11" s="108" t="s">
        <v>58</v>
      </c>
      <c r="R11" s="108" t="s">
        <v>59</v>
      </c>
      <c r="S11" s="108" t="s">
        <v>2</v>
      </c>
      <c r="AL11" s="98"/>
      <c r="AM11" s="98"/>
    </row>
    <row r="12" spans="2:39" ht="21" customHeight="1" x14ac:dyDescent="0.55000000000000004">
      <c r="B12" s="362">
        <v>1</v>
      </c>
      <c r="C12" s="394" t="s">
        <v>318</v>
      </c>
      <c r="D12" s="395"/>
      <c r="E12" s="252" t="s">
        <v>233</v>
      </c>
      <c r="F12" s="256" t="s">
        <v>233</v>
      </c>
      <c r="G12" s="257" t="s">
        <v>233</v>
      </c>
      <c r="H12" s="251" t="s">
        <v>233</v>
      </c>
      <c r="I12" s="252" t="s">
        <v>233</v>
      </c>
      <c r="J12" s="253" t="s">
        <v>233</v>
      </c>
      <c r="K12" s="254" t="s">
        <v>233</v>
      </c>
      <c r="L12" s="335"/>
      <c r="N12" s="109" t="s">
        <v>70</v>
      </c>
      <c r="O12" s="110" t="s">
        <v>70</v>
      </c>
      <c r="P12" s="111">
        <v>3.8</v>
      </c>
      <c r="Q12" s="111">
        <v>5</v>
      </c>
      <c r="R12" s="111">
        <v>2.15</v>
      </c>
      <c r="S12" s="111">
        <v>16</v>
      </c>
      <c r="T12" s="102">
        <f>+ROUND(+P12*Q12*R12*S12,0)</f>
        <v>654</v>
      </c>
      <c r="U12" s="112" t="e">
        <f>+#REF!</f>
        <v>#REF!</v>
      </c>
      <c r="V12" s="113" t="e">
        <f>+(T12-U12-#REF!-(#REF!*0.05))*1.3</f>
        <v>#REF!</v>
      </c>
      <c r="AL12" s="98"/>
      <c r="AM12" s="98"/>
    </row>
    <row r="13" spans="2:39" ht="21" customHeight="1" x14ac:dyDescent="0.55000000000000004">
      <c r="B13" s="362" t="s">
        <v>233</v>
      </c>
      <c r="C13" s="394" t="s">
        <v>319</v>
      </c>
      <c r="D13" s="395"/>
      <c r="E13" s="252">
        <v>1</v>
      </c>
      <c r="F13" s="256" t="s">
        <v>31</v>
      </c>
      <c r="G13" s="295">
        <v>400000</v>
      </c>
      <c r="H13" s="251">
        <f t="shared" ref="H13:H17" si="0">E13*G13</f>
        <v>400000</v>
      </c>
      <c r="I13" s="252">
        <v>0</v>
      </c>
      <c r="J13" s="253">
        <f t="shared" ref="J13:J17" si="1">E13*I13</f>
        <v>0</v>
      </c>
      <c r="K13" s="254">
        <f t="shared" ref="K13:K17" si="2">H13+J13</f>
        <v>400000</v>
      </c>
      <c r="L13" s="335"/>
      <c r="N13" s="109" t="s">
        <v>70</v>
      </c>
      <c r="O13" s="110" t="s">
        <v>70</v>
      </c>
      <c r="P13" s="111">
        <v>3.8</v>
      </c>
      <c r="Q13" s="111">
        <v>5</v>
      </c>
      <c r="R13" s="111">
        <v>2.15</v>
      </c>
      <c r="S13" s="111">
        <v>16</v>
      </c>
      <c r="U13" s="112"/>
      <c r="V13" s="113"/>
      <c r="AL13" s="98"/>
      <c r="AM13" s="98"/>
    </row>
    <row r="14" spans="2:39" ht="21" customHeight="1" x14ac:dyDescent="0.55000000000000004">
      <c r="B14" s="347" t="s">
        <v>233</v>
      </c>
      <c r="C14" s="394" t="s">
        <v>320</v>
      </c>
      <c r="D14" s="395"/>
      <c r="E14" s="252">
        <v>1</v>
      </c>
      <c r="F14" s="256" t="s">
        <v>31</v>
      </c>
      <c r="G14" s="295">
        <v>405000</v>
      </c>
      <c r="H14" s="251">
        <f t="shared" si="0"/>
        <v>405000</v>
      </c>
      <c r="I14" s="252">
        <v>0</v>
      </c>
      <c r="J14" s="251">
        <f t="shared" si="1"/>
        <v>0</v>
      </c>
      <c r="K14" s="321">
        <f t="shared" si="2"/>
        <v>405000</v>
      </c>
      <c r="L14" s="335"/>
      <c r="N14" s="109" t="s">
        <v>71</v>
      </c>
      <c r="O14" s="110" t="s">
        <v>71</v>
      </c>
      <c r="P14" s="111">
        <v>3.8</v>
      </c>
      <c r="Q14" s="111">
        <v>5</v>
      </c>
      <c r="R14" s="111">
        <v>0.05</v>
      </c>
      <c r="S14" s="111">
        <v>12</v>
      </c>
      <c r="AL14" s="98"/>
      <c r="AM14" s="98"/>
    </row>
    <row r="15" spans="2:39" ht="21" customHeight="1" x14ac:dyDescent="0.55000000000000004">
      <c r="B15" s="362" t="s">
        <v>233</v>
      </c>
      <c r="C15" s="394" t="s">
        <v>321</v>
      </c>
      <c r="D15" s="395"/>
      <c r="E15" s="252">
        <v>1</v>
      </c>
      <c r="F15" s="256" t="s">
        <v>31</v>
      </c>
      <c r="G15" s="295">
        <v>200000</v>
      </c>
      <c r="H15" s="251">
        <f t="shared" si="0"/>
        <v>200000</v>
      </c>
      <c r="I15" s="252">
        <v>0</v>
      </c>
      <c r="J15" s="253">
        <f t="shared" si="1"/>
        <v>0</v>
      </c>
      <c r="K15" s="254">
        <f t="shared" si="2"/>
        <v>200000</v>
      </c>
      <c r="L15" s="335"/>
      <c r="N15" s="109"/>
      <c r="O15" s="110"/>
      <c r="P15" s="114"/>
      <c r="Q15" s="114"/>
      <c r="R15" s="114"/>
      <c r="S15" s="114"/>
      <c r="AL15" s="98"/>
      <c r="AM15" s="98"/>
    </row>
    <row r="16" spans="2:39" ht="21" customHeight="1" x14ac:dyDescent="0.55000000000000004">
      <c r="B16" s="362" t="s">
        <v>233</v>
      </c>
      <c r="C16" s="394" t="s">
        <v>322</v>
      </c>
      <c r="D16" s="395"/>
      <c r="E16" s="252">
        <v>1</v>
      </c>
      <c r="F16" s="256" t="s">
        <v>31</v>
      </c>
      <c r="G16" s="295">
        <v>45000</v>
      </c>
      <c r="H16" s="251">
        <f t="shared" si="0"/>
        <v>45000</v>
      </c>
      <c r="I16" s="252">
        <v>0</v>
      </c>
      <c r="J16" s="253">
        <f t="shared" si="1"/>
        <v>0</v>
      </c>
      <c r="K16" s="254">
        <f t="shared" si="2"/>
        <v>45000</v>
      </c>
      <c r="L16" s="335"/>
      <c r="N16" s="109"/>
      <c r="O16" s="110"/>
      <c r="P16" s="114"/>
      <c r="Q16" s="114"/>
      <c r="R16" s="114"/>
      <c r="S16" s="114"/>
      <c r="AL16" s="98"/>
      <c r="AM16" s="98"/>
    </row>
    <row r="17" spans="2:39" ht="21" customHeight="1" thickBot="1" x14ac:dyDescent="0.6">
      <c r="B17" s="363" t="s">
        <v>233</v>
      </c>
      <c r="C17" s="509" t="s">
        <v>330</v>
      </c>
      <c r="D17" s="510"/>
      <c r="E17" s="355">
        <v>1</v>
      </c>
      <c r="F17" s="357" t="s">
        <v>31</v>
      </c>
      <c r="G17" s="356">
        <v>280000</v>
      </c>
      <c r="H17" s="358">
        <f t="shared" si="0"/>
        <v>280000</v>
      </c>
      <c r="I17" s="355">
        <v>0</v>
      </c>
      <c r="J17" s="359">
        <f t="shared" si="1"/>
        <v>0</v>
      </c>
      <c r="K17" s="360">
        <f t="shared" si="2"/>
        <v>280000</v>
      </c>
      <c r="L17" s="335"/>
      <c r="N17" s="106"/>
      <c r="O17" s="107"/>
      <c r="P17" s="114"/>
      <c r="Q17" s="114"/>
      <c r="R17" s="114"/>
      <c r="S17" s="114"/>
      <c r="AL17" s="98"/>
      <c r="AM17" s="98"/>
    </row>
    <row r="18" spans="2:39" ht="34.5" customHeight="1" thickTop="1" thickBot="1" x14ac:dyDescent="0.6">
      <c r="B18" s="364"/>
      <c r="C18" s="512" t="s">
        <v>389</v>
      </c>
      <c r="D18" s="513"/>
      <c r="E18" s="513"/>
      <c r="F18" s="513"/>
      <c r="G18" s="513"/>
      <c r="H18" s="513"/>
      <c r="I18" s="513"/>
      <c r="J18" s="514"/>
      <c r="K18" s="365">
        <f>SUM(K13:K17)</f>
        <v>1330000</v>
      </c>
      <c r="L18" s="367"/>
      <c r="O18" s="354"/>
      <c r="P18" s="114"/>
      <c r="Q18" s="114"/>
      <c r="R18" s="114"/>
      <c r="S18" s="114"/>
      <c r="AL18" s="98"/>
      <c r="AM18" s="98"/>
    </row>
    <row r="19" spans="2:39" ht="43.5" customHeight="1" thickTop="1" x14ac:dyDescent="0.55000000000000004">
      <c r="B19" s="322"/>
      <c r="C19" s="511"/>
      <c r="D19" s="511"/>
      <c r="E19" s="323"/>
      <c r="F19" s="324"/>
      <c r="G19" s="325"/>
      <c r="H19" s="326"/>
      <c r="I19" s="323"/>
      <c r="J19" s="326"/>
      <c r="K19" s="326"/>
      <c r="L19" s="327"/>
      <c r="O19" s="116"/>
      <c r="P19" s="115"/>
      <c r="Q19" s="115"/>
      <c r="R19" s="115"/>
      <c r="S19" s="115"/>
    </row>
    <row r="20" spans="2:39" ht="20.100000000000001" customHeight="1" x14ac:dyDescent="0.55000000000000004">
      <c r="B20" s="226"/>
      <c r="C20" s="226"/>
      <c r="D20" s="226"/>
      <c r="E20" s="226"/>
      <c r="F20" s="226"/>
      <c r="G20" s="226"/>
      <c r="H20" s="508"/>
      <c r="I20" s="508"/>
      <c r="J20" s="508"/>
      <c r="K20" s="226"/>
      <c r="L20" s="327"/>
    </row>
    <row r="21" spans="2:39" ht="20.100000000000001" customHeight="1" x14ac:dyDescent="0.55000000000000004">
      <c r="B21" s="226"/>
      <c r="C21" s="226"/>
      <c r="D21" s="226"/>
      <c r="E21" s="226"/>
      <c r="F21" s="226"/>
      <c r="G21" s="226"/>
      <c r="H21" s="226"/>
      <c r="I21" s="328"/>
      <c r="J21" s="226"/>
      <c r="K21" s="226"/>
      <c r="L21" s="327"/>
      <c r="N21" s="99" t="e">
        <f>+#REF!*1.1</f>
        <v>#REF!</v>
      </c>
      <c r="O21" s="100" t="e">
        <f>+N21-#REF!</f>
        <v>#REF!</v>
      </c>
    </row>
    <row r="22" spans="2:39" ht="20.100000000000001" customHeight="1" x14ac:dyDescent="0.55000000000000004">
      <c r="B22" s="226"/>
      <c r="C22" s="226"/>
      <c r="D22" s="226"/>
      <c r="E22" s="226"/>
      <c r="F22" s="226"/>
      <c r="G22" s="226"/>
      <c r="H22" s="508"/>
      <c r="I22" s="508"/>
      <c r="J22" s="508"/>
      <c r="K22" s="226"/>
      <c r="L22" s="327"/>
    </row>
    <row r="23" spans="2:39" ht="20.100000000000001" customHeight="1" x14ac:dyDescent="0.55000000000000004">
      <c r="B23" s="226"/>
      <c r="C23" s="508"/>
      <c r="D23" s="508"/>
      <c r="E23" s="226"/>
      <c r="F23" s="226"/>
      <c r="G23" s="226"/>
      <c r="H23" s="226"/>
      <c r="I23" s="226"/>
      <c r="J23" s="226"/>
      <c r="K23" s="226"/>
      <c r="L23" s="327"/>
      <c r="N23" s="117"/>
    </row>
    <row r="24" spans="2:39" ht="20.100000000000001" customHeight="1" x14ac:dyDescent="0.55000000000000004">
      <c r="B24" s="226"/>
      <c r="C24" s="226"/>
      <c r="D24" s="226"/>
      <c r="E24" s="226"/>
      <c r="F24" s="226"/>
      <c r="G24" s="226"/>
      <c r="H24" s="508"/>
      <c r="I24" s="508"/>
      <c r="J24" s="508"/>
      <c r="K24" s="226"/>
      <c r="L24" s="329"/>
      <c r="N24" s="117"/>
    </row>
    <row r="25" spans="2:39" ht="20.100000000000001" customHeight="1" x14ac:dyDescent="0.55000000000000004">
      <c r="B25" s="226"/>
      <c r="C25" s="226"/>
      <c r="D25" s="226"/>
      <c r="E25" s="226"/>
      <c r="F25" s="226"/>
      <c r="G25" s="226"/>
      <c r="H25" s="226"/>
      <c r="I25" s="328"/>
      <c r="J25" s="226"/>
      <c r="K25" s="226"/>
      <c r="L25" s="329"/>
      <c r="N25" s="117"/>
    </row>
    <row r="26" spans="2:39" ht="20.100000000000001" customHeight="1" x14ac:dyDescent="0.55000000000000004">
      <c r="B26" s="226"/>
      <c r="C26" s="515"/>
      <c r="D26" s="515"/>
      <c r="E26" s="226"/>
      <c r="F26" s="226"/>
      <c r="G26" s="226"/>
      <c r="H26" s="226"/>
      <c r="I26" s="328"/>
      <c r="J26" s="226"/>
      <c r="K26" s="226"/>
      <c r="L26" s="329"/>
      <c r="N26" s="117"/>
    </row>
    <row r="27" spans="2:39" ht="21.75" customHeight="1" x14ac:dyDescent="0.55000000000000004">
      <c r="B27" s="327"/>
      <c r="C27" s="327"/>
      <c r="D27" s="327"/>
      <c r="E27" s="327"/>
      <c r="F27" s="327"/>
      <c r="G27" s="508"/>
      <c r="H27" s="508"/>
      <c r="I27" s="508"/>
      <c r="J27" s="508"/>
      <c r="K27" s="508"/>
      <c r="L27" s="329"/>
      <c r="N27" s="117"/>
    </row>
    <row r="28" spans="2:39" ht="24" x14ac:dyDescent="0.55000000000000004">
      <c r="B28" s="327"/>
      <c r="C28" s="327"/>
      <c r="D28" s="327"/>
      <c r="E28" s="327"/>
      <c r="F28" s="327"/>
      <c r="G28" s="226"/>
      <c r="H28" s="508"/>
      <c r="I28" s="508"/>
      <c r="J28" s="508"/>
      <c r="K28" s="226"/>
      <c r="L28" s="329"/>
      <c r="N28" s="117"/>
    </row>
    <row r="29" spans="2:39" ht="24" x14ac:dyDescent="0.55000000000000004"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9"/>
      <c r="N29" s="117"/>
    </row>
    <row r="30" spans="2:39" ht="24" x14ac:dyDescent="0.55000000000000004"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9"/>
      <c r="N30" s="117"/>
    </row>
    <row r="31" spans="2:39" x14ac:dyDescent="0.45">
      <c r="L31" s="118"/>
      <c r="N31" s="117"/>
    </row>
  </sheetData>
  <mergeCells count="25">
    <mergeCell ref="H28:J28"/>
    <mergeCell ref="H22:J22"/>
    <mergeCell ref="C23:D23"/>
    <mergeCell ref="H24:J24"/>
    <mergeCell ref="C15:D15"/>
    <mergeCell ref="C16:D16"/>
    <mergeCell ref="C17:D17"/>
    <mergeCell ref="C19:D19"/>
    <mergeCell ref="H20:J20"/>
    <mergeCell ref="C18:J18"/>
    <mergeCell ref="C26:D26"/>
    <mergeCell ref="G27:K27"/>
    <mergeCell ref="N9:O9"/>
    <mergeCell ref="C11:D11"/>
    <mergeCell ref="C12:D12"/>
    <mergeCell ref="C13:D13"/>
    <mergeCell ref="C14:D14"/>
    <mergeCell ref="B2:L2"/>
    <mergeCell ref="C9:D10"/>
    <mergeCell ref="E9:E10"/>
    <mergeCell ref="F9:F10"/>
    <mergeCell ref="G9:H9"/>
    <mergeCell ref="I9:J9"/>
    <mergeCell ref="L9:L10"/>
    <mergeCell ref="D6:I6"/>
  </mergeCells>
  <printOptions horizontalCentered="1"/>
  <pageMargins left="0.19685039370078741" right="0" top="0.39370078740157483" bottom="0.39370078740157483" header="0" footer="0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53"/>
  <sheetViews>
    <sheetView topLeftCell="A42" workbookViewId="0">
      <selection activeCell="E49" sqref="E49"/>
    </sheetView>
  </sheetViews>
  <sheetFormatPr defaultRowHeight="21" x14ac:dyDescent="0.5"/>
  <cols>
    <col min="1" max="1" width="5.140625" style="69" bestFit="1" customWidth="1"/>
    <col min="2" max="2" width="37.42578125" style="69" customWidth="1"/>
    <col min="3" max="9" width="11.28515625" style="69" customWidth="1"/>
    <col min="10" max="10" width="15.7109375" style="69" customWidth="1"/>
    <col min="11" max="16384" width="9.140625" style="69"/>
  </cols>
  <sheetData>
    <row r="2" spans="1:11" x14ac:dyDescent="0.5">
      <c r="A2" s="85" t="s">
        <v>140</v>
      </c>
    </row>
    <row r="3" spans="1:11" x14ac:dyDescent="0.5">
      <c r="A3" s="86" t="s">
        <v>52</v>
      </c>
      <c r="B3" s="86" t="s">
        <v>0</v>
      </c>
      <c r="C3" s="86" t="s">
        <v>69</v>
      </c>
      <c r="D3" s="86" t="s">
        <v>2</v>
      </c>
      <c r="E3" s="86" t="s">
        <v>81</v>
      </c>
      <c r="F3" s="86" t="s">
        <v>1</v>
      </c>
      <c r="G3" s="86" t="s">
        <v>54</v>
      </c>
      <c r="H3" s="74" t="s">
        <v>88</v>
      </c>
      <c r="I3" s="74" t="s">
        <v>54</v>
      </c>
      <c r="J3" s="74" t="s">
        <v>89</v>
      </c>
    </row>
    <row r="4" spans="1:11" x14ac:dyDescent="0.5">
      <c r="A4" s="70">
        <v>1</v>
      </c>
      <c r="B4" s="71" t="s">
        <v>234</v>
      </c>
      <c r="C4" s="72">
        <v>42</v>
      </c>
      <c r="D4" s="70">
        <v>4</v>
      </c>
      <c r="E4" s="72">
        <f>+C4*D4</f>
        <v>168</v>
      </c>
      <c r="F4" s="70" t="s">
        <v>80</v>
      </c>
      <c r="G4" s="73">
        <f>+ROUND(E4/6,0)</f>
        <v>28</v>
      </c>
      <c r="H4" s="75">
        <f>+E4*2</f>
        <v>336</v>
      </c>
      <c r="I4" s="76">
        <f>+H4/6</f>
        <v>56</v>
      </c>
      <c r="J4" s="74" t="s">
        <v>235</v>
      </c>
    </row>
    <row r="5" spans="1:11" x14ac:dyDescent="0.5">
      <c r="A5" s="70">
        <v>2</v>
      </c>
      <c r="B5" s="71" t="s">
        <v>86</v>
      </c>
      <c r="C5" s="72"/>
      <c r="D5" s="70"/>
      <c r="E5" s="72"/>
      <c r="F5" s="70"/>
      <c r="G5" s="70"/>
    </row>
    <row r="6" spans="1:11" x14ac:dyDescent="0.5">
      <c r="A6" s="70"/>
      <c r="B6" s="71" t="s">
        <v>82</v>
      </c>
      <c r="C6" s="72">
        <v>0.6</v>
      </c>
      <c r="D6" s="70">
        <f>2*2*43</f>
        <v>172</v>
      </c>
      <c r="E6" s="72">
        <f>+C6*D6</f>
        <v>103.2</v>
      </c>
      <c r="F6" s="70" t="s">
        <v>80</v>
      </c>
      <c r="G6" s="73">
        <f t="shared" ref="G6:G16" si="0">(E6/6)</f>
        <v>17.2</v>
      </c>
      <c r="H6" s="78">
        <f>+ROUND(G6,0)</f>
        <v>17</v>
      </c>
    </row>
    <row r="7" spans="1:11" x14ac:dyDescent="0.5">
      <c r="A7" s="70"/>
      <c r="B7" s="71" t="s">
        <v>83</v>
      </c>
      <c r="C7" s="72">
        <v>0.4</v>
      </c>
      <c r="D7" s="70">
        <f>2*2*43</f>
        <v>172</v>
      </c>
      <c r="E7" s="72">
        <f>+C7*D7</f>
        <v>68.8</v>
      </c>
      <c r="F7" s="70" t="s">
        <v>80</v>
      </c>
      <c r="G7" s="73">
        <f t="shared" si="0"/>
        <v>11.466666666666667</v>
      </c>
      <c r="H7" s="78">
        <f t="shared" ref="H7:H16" si="1">+ROUND(G7,0)</f>
        <v>11</v>
      </c>
    </row>
    <row r="8" spans="1:11" x14ac:dyDescent="0.5">
      <c r="A8" s="70"/>
      <c r="B8" s="71" t="s">
        <v>231</v>
      </c>
      <c r="C8" s="72">
        <v>1.25</v>
      </c>
      <c r="D8" s="70">
        <f>2*2*29</f>
        <v>116</v>
      </c>
      <c r="E8" s="72">
        <f>+C8*D8</f>
        <v>145</v>
      </c>
      <c r="F8" s="70" t="s">
        <v>80</v>
      </c>
      <c r="G8" s="73">
        <f t="shared" si="0"/>
        <v>24.166666666666668</v>
      </c>
      <c r="H8" s="78">
        <f t="shared" si="1"/>
        <v>24</v>
      </c>
    </row>
    <row r="9" spans="1:11" x14ac:dyDescent="0.5">
      <c r="A9" s="70"/>
      <c r="B9" s="71" t="s">
        <v>230</v>
      </c>
      <c r="C9" s="72">
        <v>1.1000000000000001</v>
      </c>
      <c r="D9" s="70">
        <f>2*2*14</f>
        <v>56</v>
      </c>
      <c r="E9" s="72">
        <f>+C9*D9</f>
        <v>61.600000000000009</v>
      </c>
      <c r="F9" s="70" t="s">
        <v>80</v>
      </c>
      <c r="G9" s="73">
        <f t="shared" si="0"/>
        <v>10.266666666666667</v>
      </c>
      <c r="H9" s="78">
        <f t="shared" si="1"/>
        <v>10</v>
      </c>
    </row>
    <row r="10" spans="1:11" x14ac:dyDescent="0.5">
      <c r="A10" s="70"/>
      <c r="B10" s="71" t="s">
        <v>85</v>
      </c>
      <c r="C10" s="72">
        <v>0.75</v>
      </c>
      <c r="D10" s="70">
        <f>2*29</f>
        <v>58</v>
      </c>
      <c r="E10" s="72">
        <f>+C10*D10</f>
        <v>43.5</v>
      </c>
      <c r="F10" s="70" t="s">
        <v>80</v>
      </c>
      <c r="G10" s="73">
        <f t="shared" si="0"/>
        <v>7.25</v>
      </c>
      <c r="H10" s="78">
        <f t="shared" si="1"/>
        <v>7</v>
      </c>
      <c r="I10" s="77">
        <f>SUM(H6:H10)*2</f>
        <v>138</v>
      </c>
    </row>
    <row r="11" spans="1:11" x14ac:dyDescent="0.5">
      <c r="A11" s="70">
        <v>3</v>
      </c>
      <c r="B11" s="71" t="s">
        <v>87</v>
      </c>
      <c r="C11" s="72"/>
      <c r="D11" s="70"/>
      <c r="E11" s="72"/>
      <c r="F11" s="70"/>
      <c r="G11" s="73">
        <f t="shared" si="0"/>
        <v>0</v>
      </c>
      <c r="H11" s="78">
        <f t="shared" si="1"/>
        <v>0</v>
      </c>
    </row>
    <row r="12" spans="1:11" x14ac:dyDescent="0.5">
      <c r="A12" s="70"/>
      <c r="B12" s="71" t="s">
        <v>82</v>
      </c>
      <c r="C12" s="72">
        <v>0.7</v>
      </c>
      <c r="D12" s="70">
        <f>2*2*59</f>
        <v>236</v>
      </c>
      <c r="E12" s="72">
        <f>+C12*D12</f>
        <v>165.2</v>
      </c>
      <c r="F12" s="70" t="s">
        <v>80</v>
      </c>
      <c r="G12" s="73">
        <f t="shared" si="0"/>
        <v>27.533333333333331</v>
      </c>
      <c r="H12" s="78">
        <f t="shared" si="1"/>
        <v>28</v>
      </c>
    </row>
    <row r="13" spans="1:11" x14ac:dyDescent="0.5">
      <c r="A13" s="70"/>
      <c r="B13" s="71" t="s">
        <v>83</v>
      </c>
      <c r="C13" s="72">
        <v>0.7</v>
      </c>
      <c r="D13" s="70">
        <f>2*2*58</f>
        <v>232</v>
      </c>
      <c r="E13" s="72">
        <f>+C13*D13</f>
        <v>162.39999999999998</v>
      </c>
      <c r="F13" s="70" t="s">
        <v>80</v>
      </c>
      <c r="G13" s="73">
        <f t="shared" si="0"/>
        <v>27.066666666666663</v>
      </c>
      <c r="H13" s="78">
        <f t="shared" si="1"/>
        <v>27</v>
      </c>
    </row>
    <row r="14" spans="1:11" x14ac:dyDescent="0.5">
      <c r="A14" s="70"/>
      <c r="B14" s="71" t="s">
        <v>84</v>
      </c>
      <c r="C14" s="72">
        <v>1.25</v>
      </c>
      <c r="D14" s="70">
        <f>2*2*58</f>
        <v>232</v>
      </c>
      <c r="E14" s="72">
        <f>+C14*D14</f>
        <v>290</v>
      </c>
      <c r="F14" s="70" t="s">
        <v>80</v>
      </c>
      <c r="G14" s="73">
        <f t="shared" si="0"/>
        <v>48.333333333333336</v>
      </c>
      <c r="H14" s="78">
        <f t="shared" si="1"/>
        <v>48</v>
      </c>
    </row>
    <row r="15" spans="1:11" x14ac:dyDescent="0.5">
      <c r="A15" s="70"/>
      <c r="B15" s="71" t="s">
        <v>84</v>
      </c>
      <c r="C15" s="72">
        <v>1.25</v>
      </c>
      <c r="D15" s="70">
        <f>2*2*58</f>
        <v>232</v>
      </c>
      <c r="E15" s="72">
        <f>+C15*D15</f>
        <v>290</v>
      </c>
      <c r="F15" s="70" t="s">
        <v>80</v>
      </c>
      <c r="G15" s="73">
        <f t="shared" si="0"/>
        <v>48.333333333333336</v>
      </c>
      <c r="H15" s="78">
        <f t="shared" si="1"/>
        <v>48</v>
      </c>
    </row>
    <row r="16" spans="1:11" x14ac:dyDescent="0.5">
      <c r="A16" s="70"/>
      <c r="B16" s="71" t="s">
        <v>85</v>
      </c>
      <c r="C16" s="72">
        <v>1</v>
      </c>
      <c r="D16" s="70">
        <f>2*59</f>
        <v>118</v>
      </c>
      <c r="E16" s="72">
        <f>+C16*D16</f>
        <v>118</v>
      </c>
      <c r="F16" s="70" t="s">
        <v>80</v>
      </c>
      <c r="G16" s="73">
        <f t="shared" si="0"/>
        <v>19.666666666666668</v>
      </c>
      <c r="H16" s="78">
        <f t="shared" si="1"/>
        <v>20</v>
      </c>
      <c r="I16" s="78">
        <f>SUM(H12:H16)</f>
        <v>171</v>
      </c>
      <c r="J16" s="77">
        <f>(+I10+I16)</f>
        <v>309</v>
      </c>
      <c r="K16" s="78"/>
    </row>
    <row r="17" spans="1:11" x14ac:dyDescent="0.5">
      <c r="A17" s="70">
        <v>3</v>
      </c>
      <c r="B17" s="71" t="s">
        <v>134</v>
      </c>
      <c r="C17" s="72"/>
      <c r="D17" s="70"/>
      <c r="E17" s="72"/>
      <c r="F17" s="70"/>
      <c r="G17" s="73"/>
    </row>
    <row r="18" spans="1:11" x14ac:dyDescent="0.5">
      <c r="A18" s="70"/>
      <c r="B18" s="71" t="s">
        <v>91</v>
      </c>
      <c r="C18" s="72">
        <v>0.7</v>
      </c>
      <c r="D18" s="70">
        <v>58</v>
      </c>
      <c r="E18" s="72">
        <f>+C18*D18</f>
        <v>40.599999999999994</v>
      </c>
      <c r="F18" s="70" t="s">
        <v>80</v>
      </c>
      <c r="G18" s="73">
        <f>+E18/6</f>
        <v>6.7666666666666657</v>
      </c>
      <c r="H18" s="75">
        <f>+E18</f>
        <v>40.599999999999994</v>
      </c>
      <c r="I18" s="76">
        <f>+H18/6</f>
        <v>6.7666666666666657</v>
      </c>
      <c r="J18" s="74"/>
    </row>
    <row r="19" spans="1:11" x14ac:dyDescent="0.5">
      <c r="A19" s="70"/>
      <c r="B19" s="71" t="s">
        <v>92</v>
      </c>
      <c r="C19" s="72">
        <f>0.4*2</f>
        <v>0.8</v>
      </c>
      <c r="D19" s="70">
        <v>58</v>
      </c>
      <c r="E19" s="72">
        <f>+C19*D19</f>
        <v>46.400000000000006</v>
      </c>
      <c r="F19" s="70" t="s">
        <v>80</v>
      </c>
      <c r="G19" s="73">
        <f>+E19/6</f>
        <v>7.7333333333333343</v>
      </c>
      <c r="H19" s="75">
        <f>+E19</f>
        <v>46.400000000000006</v>
      </c>
      <c r="I19" s="76">
        <f>+H19/6</f>
        <v>7.7333333333333343</v>
      </c>
      <c r="J19" s="74"/>
    </row>
    <row r="20" spans="1:11" x14ac:dyDescent="0.5">
      <c r="A20" s="70"/>
      <c r="B20" s="71" t="s">
        <v>93</v>
      </c>
      <c r="C20" s="72">
        <v>1.2</v>
      </c>
      <c r="D20" s="70">
        <v>58</v>
      </c>
      <c r="E20" s="72">
        <f>+C20*D20</f>
        <v>69.599999999999994</v>
      </c>
      <c r="F20" s="70" t="s">
        <v>80</v>
      </c>
      <c r="G20" s="73">
        <f>+E20/6</f>
        <v>11.6</v>
      </c>
      <c r="H20" s="75">
        <f>+E20</f>
        <v>69.599999999999994</v>
      </c>
      <c r="I20" s="76">
        <f>+H20/6</f>
        <v>11.6</v>
      </c>
      <c r="J20" s="74" t="s">
        <v>94</v>
      </c>
      <c r="K20" s="77">
        <f>SUM(I18:I20)*1.1</f>
        <v>28.710000000000004</v>
      </c>
    </row>
    <row r="22" spans="1:11" x14ac:dyDescent="0.5">
      <c r="A22" s="85" t="s">
        <v>141</v>
      </c>
    </row>
    <row r="23" spans="1:11" x14ac:dyDescent="0.5">
      <c r="A23" s="86" t="s">
        <v>52</v>
      </c>
      <c r="B23" s="517" t="s">
        <v>123</v>
      </c>
      <c r="C23" s="518"/>
      <c r="D23" s="518"/>
      <c r="E23" s="518"/>
      <c r="F23" s="518"/>
      <c r="G23" s="518"/>
      <c r="H23" s="518"/>
      <c r="I23" s="518"/>
      <c r="J23" s="519"/>
    </row>
    <row r="24" spans="1:11" x14ac:dyDescent="0.5">
      <c r="A24" s="70">
        <v>1</v>
      </c>
      <c r="B24" s="71" t="s">
        <v>124</v>
      </c>
      <c r="C24" s="70">
        <v>24</v>
      </c>
      <c r="D24" s="70">
        <f>31*F24</f>
        <v>4384.0200000000004</v>
      </c>
      <c r="E24" s="70">
        <f>8.5*F24</f>
        <v>1202.0700000000002</v>
      </c>
      <c r="F24" s="70">
        <f>23.57*6</f>
        <v>141.42000000000002</v>
      </c>
      <c r="G24" s="70"/>
      <c r="H24" s="70">
        <f>+D24+E24</f>
        <v>5586.09</v>
      </c>
      <c r="I24" s="70"/>
      <c r="J24" s="70"/>
    </row>
    <row r="25" spans="1:11" x14ac:dyDescent="0.5">
      <c r="A25" s="70">
        <v>2</v>
      </c>
      <c r="B25" s="71" t="s">
        <v>125</v>
      </c>
      <c r="C25" s="70">
        <v>0.5</v>
      </c>
      <c r="D25" s="70">
        <f>31*F25</f>
        <v>1261.08</v>
      </c>
      <c r="E25" s="70">
        <f>8.5*F25</f>
        <v>345.78</v>
      </c>
      <c r="F25" s="70">
        <f>6.78*6</f>
        <v>40.68</v>
      </c>
      <c r="G25" s="70">
        <v>1</v>
      </c>
      <c r="H25" s="70">
        <f>+(D25+E25)*G25</f>
        <v>1606.86</v>
      </c>
      <c r="I25" s="70">
        <f>+(D25+E25)/6</f>
        <v>267.81</v>
      </c>
      <c r="J25" s="70" t="s">
        <v>126</v>
      </c>
    </row>
    <row r="26" spans="1:11" x14ac:dyDescent="0.5">
      <c r="A26" s="70"/>
      <c r="B26" s="70"/>
      <c r="C26" s="70">
        <v>0.8</v>
      </c>
      <c r="D26" s="70">
        <f>31*F26</f>
        <v>1261.08</v>
      </c>
      <c r="E26" s="70">
        <f>8.5*F26</f>
        <v>345.78</v>
      </c>
      <c r="F26" s="70">
        <f>6.78*6</f>
        <v>40.68</v>
      </c>
      <c r="G26" s="70">
        <v>2</v>
      </c>
      <c r="H26" s="70">
        <f>+(D26+E26)*G26</f>
        <v>3213.72</v>
      </c>
      <c r="I26" s="70">
        <f>+((D26+E26)/6)*3</f>
        <v>803.43000000000006</v>
      </c>
      <c r="J26" s="70" t="s">
        <v>127</v>
      </c>
    </row>
    <row r="27" spans="1:11" x14ac:dyDescent="0.5">
      <c r="A27" s="70"/>
      <c r="B27" s="70"/>
      <c r="C27" s="70">
        <v>1.2</v>
      </c>
      <c r="D27" s="70">
        <f>31*F27</f>
        <v>1261.08</v>
      </c>
      <c r="E27" s="70">
        <f>8.5*F27</f>
        <v>345.78</v>
      </c>
      <c r="F27" s="70">
        <f>6.78*6</f>
        <v>40.68</v>
      </c>
      <c r="G27" s="70">
        <v>2</v>
      </c>
      <c r="H27" s="70">
        <f>+(D27+E27)*G27</f>
        <v>3213.72</v>
      </c>
      <c r="I27" s="70">
        <f>+((D27+E27)/6)*2</f>
        <v>535.62</v>
      </c>
      <c r="J27" s="70" t="s">
        <v>130</v>
      </c>
    </row>
    <row r="28" spans="1:11" x14ac:dyDescent="0.5">
      <c r="A28" s="70"/>
      <c r="B28" s="70"/>
      <c r="C28" s="70">
        <v>1.5</v>
      </c>
      <c r="D28" s="70">
        <f>31*F28</f>
        <v>1261.08</v>
      </c>
      <c r="E28" s="70">
        <f>8.5*F28</f>
        <v>345.78</v>
      </c>
      <c r="F28" s="70">
        <f>6.78*6</f>
        <v>40.68</v>
      </c>
      <c r="G28" s="70">
        <v>3</v>
      </c>
      <c r="H28" s="70">
        <f>+(D28+E28)*G28</f>
        <v>4820.58</v>
      </c>
      <c r="I28" s="70">
        <f>+((D28+E28)/6)*2</f>
        <v>535.62</v>
      </c>
      <c r="J28" s="70" t="s">
        <v>131</v>
      </c>
    </row>
    <row r="29" spans="1:11" ht="21.75" thickBot="1" x14ac:dyDescent="0.55000000000000004">
      <c r="H29" s="516">
        <f>SUM(H24:I28)</f>
        <v>20583.45</v>
      </c>
      <c r="I29" s="516"/>
    </row>
    <row r="30" spans="1:11" ht="21.75" thickTop="1" x14ac:dyDescent="0.5"/>
    <row r="31" spans="1:11" x14ac:dyDescent="0.5">
      <c r="A31" s="86" t="s">
        <v>52</v>
      </c>
      <c r="B31" s="517" t="s">
        <v>128</v>
      </c>
      <c r="C31" s="518"/>
      <c r="D31" s="518"/>
      <c r="E31" s="518"/>
      <c r="F31" s="518"/>
      <c r="G31" s="518"/>
      <c r="H31" s="518"/>
      <c r="I31" s="518"/>
      <c r="J31" s="519"/>
    </row>
    <row r="32" spans="1:11" x14ac:dyDescent="0.5">
      <c r="A32" s="70">
        <v>1</v>
      </c>
      <c r="B32" s="71" t="s">
        <v>124</v>
      </c>
      <c r="C32" s="70">
        <v>24</v>
      </c>
      <c r="D32" s="70">
        <f>31*F32</f>
        <v>4384.0200000000004</v>
      </c>
      <c r="E32" s="70">
        <f>8.5*F32</f>
        <v>1202.0700000000002</v>
      </c>
      <c r="F32" s="70">
        <f>23.57*6</f>
        <v>141.42000000000002</v>
      </c>
      <c r="G32" s="70"/>
      <c r="H32" s="70">
        <f>+D32+E32</f>
        <v>5586.09</v>
      </c>
      <c r="I32" s="70"/>
      <c r="J32" s="70"/>
    </row>
    <row r="33" spans="1:10" x14ac:dyDescent="0.5">
      <c r="A33" s="70">
        <v>2</v>
      </c>
      <c r="B33" s="71" t="s">
        <v>125</v>
      </c>
      <c r="C33" s="70">
        <v>0.5</v>
      </c>
      <c r="D33" s="70">
        <f>31*F33</f>
        <v>1261.08</v>
      </c>
      <c r="E33" s="70">
        <f>8.5*F33</f>
        <v>345.78</v>
      </c>
      <c r="F33" s="70">
        <f>6.78*6</f>
        <v>40.68</v>
      </c>
      <c r="G33" s="70">
        <v>1</v>
      </c>
      <c r="H33" s="70">
        <f>+(D33+E33)*G33</f>
        <v>1606.86</v>
      </c>
      <c r="I33" s="70">
        <f>+(D33+E33)/6</f>
        <v>267.81</v>
      </c>
      <c r="J33" s="70" t="s">
        <v>126</v>
      </c>
    </row>
    <row r="34" spans="1:10" x14ac:dyDescent="0.5">
      <c r="A34" s="70"/>
      <c r="B34" s="70"/>
      <c r="C34" s="70">
        <v>1.5</v>
      </c>
      <c r="D34" s="70">
        <f>31*F34</f>
        <v>1261.08</v>
      </c>
      <c r="E34" s="70">
        <f>8.5*F34</f>
        <v>345.78</v>
      </c>
      <c r="F34" s="70">
        <f>6.78*6</f>
        <v>40.68</v>
      </c>
      <c r="G34" s="70">
        <v>3</v>
      </c>
      <c r="H34" s="70">
        <f>+(D34+E34)*G34</f>
        <v>4820.58</v>
      </c>
      <c r="I34" s="70">
        <f>+((D34+E34)/6)*3</f>
        <v>803.43000000000006</v>
      </c>
      <c r="J34" s="70" t="s">
        <v>129</v>
      </c>
    </row>
    <row r="35" spans="1:10" x14ac:dyDescent="0.5">
      <c r="A35" s="70"/>
      <c r="B35" s="70"/>
      <c r="C35" s="70">
        <v>1.2</v>
      </c>
      <c r="D35" s="70">
        <f>31*F35</f>
        <v>1261.08</v>
      </c>
      <c r="E35" s="70">
        <f>8.5*F35</f>
        <v>345.78</v>
      </c>
      <c r="F35" s="70">
        <f>6.78*6</f>
        <v>40.68</v>
      </c>
      <c r="G35" s="70">
        <v>2</v>
      </c>
      <c r="H35" s="70">
        <f>+(D35+E35)*G35</f>
        <v>3213.72</v>
      </c>
      <c r="I35" s="70">
        <f>+((D35+E35)/6)*3</f>
        <v>803.43000000000006</v>
      </c>
      <c r="J35" s="70" t="s">
        <v>130</v>
      </c>
    </row>
    <row r="36" spans="1:10" x14ac:dyDescent="0.5">
      <c r="A36" s="70"/>
      <c r="B36" s="70"/>
      <c r="C36" s="70">
        <v>2</v>
      </c>
      <c r="D36" s="70">
        <f>31*F36</f>
        <v>1261.08</v>
      </c>
      <c r="E36" s="70">
        <f>8.5*F36</f>
        <v>345.78</v>
      </c>
      <c r="F36" s="70">
        <f>6.78*6</f>
        <v>40.68</v>
      </c>
      <c r="G36" s="70">
        <v>4</v>
      </c>
      <c r="H36" s="70">
        <f>+(D36+E36)*G36</f>
        <v>6427.44</v>
      </c>
      <c r="I36" s="70">
        <f>+((D36+E36)/6)*2</f>
        <v>535.62</v>
      </c>
      <c r="J36" s="70" t="s">
        <v>132</v>
      </c>
    </row>
    <row r="37" spans="1:10" ht="21.75" thickBot="1" x14ac:dyDescent="0.55000000000000004">
      <c r="H37" s="516">
        <f>SUM(H32:I36)</f>
        <v>24064.979999999996</v>
      </c>
      <c r="I37" s="516"/>
    </row>
    <row r="38" spans="1:10" ht="21.75" thickTop="1" x14ac:dyDescent="0.5"/>
    <row r="39" spans="1:10" x14ac:dyDescent="0.5">
      <c r="B39" s="84" t="s">
        <v>142</v>
      </c>
    </row>
    <row r="41" spans="1:10" x14ac:dyDescent="0.45">
      <c r="B41" s="71" t="s">
        <v>136</v>
      </c>
      <c r="C41" s="70" t="s">
        <v>143</v>
      </c>
      <c r="D41" s="73">
        <f>+((0.6+0.8)*2)*0.1</f>
        <v>0.27999999999999997</v>
      </c>
      <c r="E41" s="83">
        <f>+D41*1.1</f>
        <v>0.308</v>
      </c>
      <c r="F41" s="87">
        <v>2550</v>
      </c>
      <c r="G41" s="87">
        <f t="shared" ref="G41:G50" si="2">E41*F41</f>
        <v>785.4</v>
      </c>
      <c r="H41" s="88">
        <v>306</v>
      </c>
      <c r="I41" s="92">
        <f t="shared" ref="I41:I48" si="3">E41*H41</f>
        <v>94.248000000000005</v>
      </c>
      <c r="J41" s="92">
        <f t="shared" ref="J41:J50" si="4">G41+I41</f>
        <v>879.64800000000002</v>
      </c>
    </row>
    <row r="42" spans="1:10" x14ac:dyDescent="0.45">
      <c r="B42" s="71"/>
      <c r="C42" s="70" t="s">
        <v>144</v>
      </c>
      <c r="D42" s="73">
        <f>0.6*0.8*0.1</f>
        <v>4.8000000000000001E-2</v>
      </c>
      <c r="E42" s="83">
        <f>+D42*1.1</f>
        <v>5.2800000000000007E-2</v>
      </c>
      <c r="F42" s="87">
        <v>2550</v>
      </c>
      <c r="G42" s="87">
        <f t="shared" si="2"/>
        <v>134.64000000000001</v>
      </c>
      <c r="H42" s="88">
        <v>306</v>
      </c>
      <c r="I42" s="92">
        <f t="shared" si="3"/>
        <v>16.1568</v>
      </c>
      <c r="J42" s="92">
        <f t="shared" si="4"/>
        <v>150.79680000000002</v>
      </c>
    </row>
    <row r="43" spans="1:10" x14ac:dyDescent="0.45">
      <c r="B43" s="71" t="s">
        <v>137</v>
      </c>
      <c r="C43" s="70"/>
      <c r="D43" s="73">
        <f>+((0.6+0.8)*2)+((0.6+0.4)*2)</f>
        <v>4.8</v>
      </c>
      <c r="E43" s="83">
        <f>+D43*0.8</f>
        <v>3.84</v>
      </c>
      <c r="F43" s="87">
        <f>ROUND(400*0.912,0)</f>
        <v>365</v>
      </c>
      <c r="G43" s="87">
        <f t="shared" si="2"/>
        <v>1401.6</v>
      </c>
      <c r="H43" s="88">
        <v>133</v>
      </c>
      <c r="I43" s="92">
        <f t="shared" si="3"/>
        <v>510.71999999999997</v>
      </c>
      <c r="J43" s="92">
        <f t="shared" si="4"/>
        <v>1912.32</v>
      </c>
    </row>
    <row r="44" spans="1:10" x14ac:dyDescent="0.45">
      <c r="B44" s="71" t="s">
        <v>138</v>
      </c>
      <c r="C44" s="70" t="s">
        <v>143</v>
      </c>
      <c r="D44" s="73">
        <f>+((0.7/0.15+1)*(0.6+0.8+0.6+0.8))+(((0.6+0.8+0.6+0.8)/0.15+1)*0.7)</f>
        <v>29.633333333333333</v>
      </c>
      <c r="E44" s="91">
        <f>(+D44/10)*1.07</f>
        <v>3.1707666666666667</v>
      </c>
      <c r="F44" s="87">
        <v>106</v>
      </c>
      <c r="G44" s="87">
        <f t="shared" si="2"/>
        <v>336.10126666666667</v>
      </c>
      <c r="H44" s="88">
        <v>17</v>
      </c>
      <c r="I44" s="92">
        <f t="shared" si="3"/>
        <v>53.903033333333333</v>
      </c>
      <c r="J44" s="92">
        <f t="shared" si="4"/>
        <v>390.0043</v>
      </c>
    </row>
    <row r="45" spans="1:10" x14ac:dyDescent="0.45">
      <c r="B45" s="71"/>
      <c r="C45" s="70" t="s">
        <v>144</v>
      </c>
      <c r="D45" s="73">
        <f>+((0.8/0.15+1)*0.6)+((0.6/0.15+1)*0.8)</f>
        <v>7.8000000000000007</v>
      </c>
      <c r="E45" s="91">
        <f>(+D45/10)*1.07</f>
        <v>0.83460000000000012</v>
      </c>
      <c r="F45" s="87">
        <v>106</v>
      </c>
      <c r="G45" s="87">
        <f t="shared" si="2"/>
        <v>88.467600000000019</v>
      </c>
      <c r="H45" s="88">
        <v>17</v>
      </c>
      <c r="I45" s="92">
        <f t="shared" si="3"/>
        <v>14.188200000000002</v>
      </c>
      <c r="J45" s="92">
        <f t="shared" si="4"/>
        <v>102.65580000000003</v>
      </c>
    </row>
    <row r="46" spans="1:10" x14ac:dyDescent="0.45">
      <c r="B46" s="71" t="s">
        <v>145</v>
      </c>
      <c r="C46" s="70"/>
      <c r="D46" s="73">
        <f>0.6+0.4+0.6+0.4</f>
        <v>2</v>
      </c>
      <c r="E46" s="83">
        <f>+D46</f>
        <v>2</v>
      </c>
      <c r="F46" s="73">
        <v>67.833333333333329</v>
      </c>
      <c r="G46" s="87">
        <f t="shared" si="2"/>
        <v>135.66666666666666</v>
      </c>
      <c r="H46" s="73">
        <v>20.166666666666668</v>
      </c>
      <c r="I46" s="92">
        <f t="shared" si="3"/>
        <v>40.333333333333336</v>
      </c>
      <c r="J46" s="92">
        <f t="shared" si="4"/>
        <v>176</v>
      </c>
    </row>
    <row r="47" spans="1:10" x14ac:dyDescent="0.45">
      <c r="B47" s="71" t="s">
        <v>224</v>
      </c>
      <c r="C47" s="70"/>
      <c r="D47" s="73">
        <f>(18*0.5)+0.8</f>
        <v>9.8000000000000007</v>
      </c>
      <c r="E47" s="83">
        <v>10</v>
      </c>
      <c r="F47" s="73">
        <v>72.833333333333329</v>
      </c>
      <c r="G47" s="87">
        <f t="shared" si="2"/>
        <v>728.33333333333326</v>
      </c>
      <c r="H47" s="73">
        <v>20</v>
      </c>
      <c r="I47" s="92">
        <f t="shared" si="3"/>
        <v>200</v>
      </c>
      <c r="J47" s="92">
        <f t="shared" si="4"/>
        <v>928.33333333333326</v>
      </c>
    </row>
    <row r="48" spans="1:10" x14ac:dyDescent="0.45">
      <c r="B48" s="71" t="s">
        <v>225</v>
      </c>
      <c r="C48" s="70"/>
      <c r="D48" s="73">
        <f>0.5+0.8+0.5+0.8</f>
        <v>2.6</v>
      </c>
      <c r="E48" s="83">
        <v>3</v>
      </c>
      <c r="F48" s="73">
        <v>146.33333333333334</v>
      </c>
      <c r="G48" s="87">
        <f t="shared" si="2"/>
        <v>439</v>
      </c>
      <c r="H48" s="73">
        <v>40</v>
      </c>
      <c r="I48" s="92">
        <f t="shared" si="3"/>
        <v>120</v>
      </c>
      <c r="J48" s="92">
        <f t="shared" si="4"/>
        <v>559</v>
      </c>
    </row>
    <row r="49" spans="2:10" x14ac:dyDescent="0.45">
      <c r="B49" s="71" t="s">
        <v>65</v>
      </c>
      <c r="C49" s="70"/>
      <c r="D49" s="73"/>
      <c r="E49" s="89">
        <f>+ROUND(E43*0.25,1)</f>
        <v>1</v>
      </c>
      <c r="F49" s="87">
        <v>27</v>
      </c>
      <c r="G49" s="87">
        <f t="shared" si="2"/>
        <v>27</v>
      </c>
      <c r="H49" s="88">
        <v>0</v>
      </c>
      <c r="I49" s="92">
        <f>D49*H49</f>
        <v>0</v>
      </c>
      <c r="J49" s="92">
        <f t="shared" si="4"/>
        <v>27</v>
      </c>
    </row>
    <row r="50" spans="2:10" x14ac:dyDescent="0.45">
      <c r="B50" s="71" t="s">
        <v>139</v>
      </c>
      <c r="C50" s="70"/>
      <c r="D50" s="73"/>
      <c r="E50" s="89">
        <f>+ROUND(SUM(E44:E45)/30,1)</f>
        <v>0.1</v>
      </c>
      <c r="F50" s="87">
        <v>30</v>
      </c>
      <c r="G50" s="87">
        <f t="shared" si="2"/>
        <v>3</v>
      </c>
      <c r="H50" s="88">
        <v>0</v>
      </c>
      <c r="I50" s="92">
        <f>D50*H50</f>
        <v>0</v>
      </c>
      <c r="J50" s="92">
        <f t="shared" si="4"/>
        <v>3</v>
      </c>
    </row>
    <row r="52" spans="2:10" ht="21.75" thickBot="1" x14ac:dyDescent="0.55000000000000004">
      <c r="J52" s="90">
        <f>SUM(J41:J51)</f>
        <v>5128.758233333333</v>
      </c>
    </row>
    <row r="53" spans="2:10" ht="21.75" thickTop="1" x14ac:dyDescent="0.5"/>
  </sheetData>
  <mergeCells count="4">
    <mergeCell ref="H29:I29"/>
    <mergeCell ref="B23:J23"/>
    <mergeCell ref="B31:J31"/>
    <mergeCell ref="H37:I37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98"/>
  <sheetViews>
    <sheetView workbookViewId="0">
      <selection activeCell="F43" sqref="F43"/>
    </sheetView>
  </sheetViews>
  <sheetFormatPr defaultRowHeight="21.75" x14ac:dyDescent="0.5"/>
  <cols>
    <col min="2" max="2" width="35.7109375" bestFit="1" customWidth="1"/>
    <col min="8" max="8" width="10" style="95" bestFit="1" customWidth="1"/>
  </cols>
  <sheetData>
    <row r="2" spans="1:10" s="69" customFormat="1" ht="21" x14ac:dyDescent="0.5">
      <c r="B2" s="79" t="s">
        <v>101</v>
      </c>
      <c r="F2" s="79"/>
      <c r="H2" s="80"/>
    </row>
    <row r="3" spans="1:10" s="69" customFormat="1" ht="21" x14ac:dyDescent="0.5">
      <c r="B3" s="79" t="s">
        <v>102</v>
      </c>
      <c r="C3" s="69" t="s">
        <v>104</v>
      </c>
      <c r="D3" s="80">
        <v>5</v>
      </c>
      <c r="E3" s="69" t="s">
        <v>106</v>
      </c>
      <c r="F3" s="79"/>
      <c r="H3" s="80"/>
    </row>
    <row r="4" spans="1:10" s="69" customFormat="1" ht="21" x14ac:dyDescent="0.5">
      <c r="B4" s="79" t="s">
        <v>119</v>
      </c>
      <c r="C4" s="69" t="s">
        <v>104</v>
      </c>
      <c r="D4" s="80">
        <v>9.51</v>
      </c>
      <c r="E4" s="69" t="s">
        <v>39</v>
      </c>
      <c r="F4" s="79" t="s">
        <v>108</v>
      </c>
      <c r="H4" s="80"/>
    </row>
    <row r="5" spans="1:10" s="69" customFormat="1" ht="21" x14ac:dyDescent="0.5">
      <c r="B5" s="79" t="s">
        <v>103</v>
      </c>
      <c r="C5" s="69" t="s">
        <v>104</v>
      </c>
      <c r="D5" s="80">
        <v>0.05</v>
      </c>
      <c r="E5" s="69" t="s">
        <v>56</v>
      </c>
      <c r="F5" s="79" t="s">
        <v>109</v>
      </c>
      <c r="H5" s="80"/>
    </row>
    <row r="6" spans="1:10" s="69" customFormat="1" ht="21" x14ac:dyDescent="0.5">
      <c r="B6" s="79" t="s">
        <v>107</v>
      </c>
      <c r="C6" s="69" t="s">
        <v>104</v>
      </c>
      <c r="D6" s="80">
        <f>+D5*1.6</f>
        <v>8.0000000000000016E-2</v>
      </c>
      <c r="E6" s="69" t="s">
        <v>56</v>
      </c>
      <c r="F6" s="79" t="s">
        <v>110</v>
      </c>
      <c r="H6" s="80"/>
    </row>
    <row r="7" spans="1:10" s="69" customFormat="1" ht="21" x14ac:dyDescent="0.5">
      <c r="B7" s="79" t="s">
        <v>105</v>
      </c>
      <c r="C7" s="69" t="s">
        <v>104</v>
      </c>
      <c r="D7" s="80">
        <f>+D6*37.66</f>
        <v>3.0128000000000004</v>
      </c>
      <c r="E7" s="69" t="s">
        <v>39</v>
      </c>
      <c r="F7" s="79" t="s">
        <v>111</v>
      </c>
      <c r="H7" s="80"/>
    </row>
    <row r="8" spans="1:10" s="69" customFormat="1" ht="21" x14ac:dyDescent="0.5">
      <c r="B8" s="79" t="s">
        <v>112</v>
      </c>
      <c r="C8" s="69" t="s">
        <v>104</v>
      </c>
      <c r="D8" s="80">
        <f>+D6*7.35*H8</f>
        <v>0.58800000000000008</v>
      </c>
      <c r="E8" s="69" t="s">
        <v>39</v>
      </c>
      <c r="F8" s="79" t="s">
        <v>113</v>
      </c>
      <c r="H8" s="94">
        <v>1</v>
      </c>
      <c r="I8" s="69" t="s">
        <v>118</v>
      </c>
    </row>
    <row r="9" spans="1:10" s="69" customFormat="1" ht="21" x14ac:dyDescent="0.5">
      <c r="B9" s="79" t="s">
        <v>116</v>
      </c>
      <c r="C9" s="69" t="s">
        <v>104</v>
      </c>
      <c r="D9" s="80">
        <f>+D4+D7+D8</f>
        <v>13.110800000000001</v>
      </c>
      <c r="E9" s="69" t="s">
        <v>39</v>
      </c>
      <c r="F9" s="79" t="s">
        <v>114</v>
      </c>
      <c r="H9" s="80"/>
    </row>
    <row r="10" spans="1:10" s="69" customFormat="1" ht="21" x14ac:dyDescent="0.5">
      <c r="B10" s="81" t="s">
        <v>117</v>
      </c>
      <c r="C10" s="81" t="s">
        <v>104</v>
      </c>
      <c r="D10" s="82">
        <f>+D9</f>
        <v>13.110800000000001</v>
      </c>
      <c r="E10" s="81" t="s">
        <v>39</v>
      </c>
      <c r="F10" s="79" t="s">
        <v>115</v>
      </c>
      <c r="H10" s="80"/>
    </row>
    <row r="13" spans="1:10" x14ac:dyDescent="0.5">
      <c r="A13" s="93" t="s">
        <v>146</v>
      </c>
      <c r="B13" s="93"/>
    </row>
    <row r="14" spans="1:10" x14ac:dyDescent="0.5">
      <c r="A14" t="s">
        <v>147</v>
      </c>
      <c r="D14">
        <v>5</v>
      </c>
      <c r="E14" t="s">
        <v>106</v>
      </c>
    </row>
    <row r="15" spans="1:10" x14ac:dyDescent="0.5">
      <c r="B15" t="s">
        <v>148</v>
      </c>
      <c r="G15" t="s">
        <v>104</v>
      </c>
      <c r="H15" s="95">
        <v>15.6</v>
      </c>
      <c r="I15" t="s">
        <v>56</v>
      </c>
      <c r="J15" t="s">
        <v>108</v>
      </c>
    </row>
    <row r="16" spans="1:10" x14ac:dyDescent="0.5">
      <c r="E16" t="s">
        <v>149</v>
      </c>
      <c r="F16">
        <v>2.4</v>
      </c>
      <c r="G16" t="s">
        <v>104</v>
      </c>
      <c r="H16" s="95">
        <v>37.44</v>
      </c>
      <c r="I16" t="s">
        <v>150</v>
      </c>
      <c r="J16" t="s">
        <v>109</v>
      </c>
    </row>
    <row r="17" spans="2:10" x14ac:dyDescent="0.5">
      <c r="B17" t="s">
        <v>151</v>
      </c>
      <c r="G17" t="s">
        <v>104</v>
      </c>
      <c r="H17" s="95">
        <v>10000</v>
      </c>
      <c r="I17" t="s">
        <v>150</v>
      </c>
      <c r="J17" t="s">
        <v>152</v>
      </c>
    </row>
    <row r="18" spans="2:10" x14ac:dyDescent="0.5">
      <c r="B18" t="s">
        <v>153</v>
      </c>
      <c r="E18">
        <v>250000</v>
      </c>
      <c r="F18" t="s">
        <v>154</v>
      </c>
      <c r="G18" t="s">
        <v>104</v>
      </c>
      <c r="H18" s="95">
        <v>25</v>
      </c>
      <c r="I18" t="s">
        <v>155</v>
      </c>
      <c r="J18" t="s">
        <v>156</v>
      </c>
    </row>
    <row r="20" spans="2:10" x14ac:dyDescent="0.5">
      <c r="J20" t="s">
        <v>157</v>
      </c>
    </row>
    <row r="21" spans="2:10" x14ac:dyDescent="0.5">
      <c r="B21" t="s">
        <v>158</v>
      </c>
      <c r="G21" t="s">
        <v>104</v>
      </c>
      <c r="H21" s="95">
        <v>10000</v>
      </c>
      <c r="I21" t="s">
        <v>150</v>
      </c>
      <c r="J21" t="s">
        <v>159</v>
      </c>
    </row>
    <row r="22" spans="2:10" x14ac:dyDescent="0.5">
      <c r="B22" t="s">
        <v>160</v>
      </c>
      <c r="G22" t="s">
        <v>104</v>
      </c>
      <c r="H22" s="95">
        <v>8.33</v>
      </c>
      <c r="I22" t="s">
        <v>22</v>
      </c>
      <c r="J22" t="s">
        <v>161</v>
      </c>
    </row>
    <row r="23" spans="2:10" x14ac:dyDescent="0.5">
      <c r="B23" t="s">
        <v>162</v>
      </c>
      <c r="E23">
        <v>100</v>
      </c>
      <c r="F23" t="s">
        <v>118</v>
      </c>
      <c r="G23" t="s">
        <v>104</v>
      </c>
      <c r="H23" s="95">
        <v>199.81</v>
      </c>
      <c r="I23" t="s">
        <v>163</v>
      </c>
      <c r="J23" t="s">
        <v>164</v>
      </c>
    </row>
    <row r="24" spans="2:10" x14ac:dyDescent="0.5">
      <c r="B24" t="s">
        <v>165</v>
      </c>
      <c r="E24" t="s">
        <v>166</v>
      </c>
      <c r="F24" t="s">
        <v>167</v>
      </c>
      <c r="G24" t="s">
        <v>104</v>
      </c>
      <c r="H24" s="95">
        <v>1.6</v>
      </c>
      <c r="I24" t="s">
        <v>155</v>
      </c>
      <c r="J24" t="s">
        <v>168</v>
      </c>
    </row>
    <row r="25" spans="2:10" x14ac:dyDescent="0.5">
      <c r="B25" t="s">
        <v>169</v>
      </c>
      <c r="G25" t="s">
        <v>104</v>
      </c>
      <c r="H25" s="95">
        <v>25</v>
      </c>
      <c r="I25" t="s">
        <v>155</v>
      </c>
      <c r="J25" t="s">
        <v>170</v>
      </c>
    </row>
    <row r="26" spans="2:10" x14ac:dyDescent="0.5">
      <c r="B26" t="s">
        <v>171</v>
      </c>
      <c r="G26" t="s">
        <v>104</v>
      </c>
      <c r="H26" s="95">
        <v>30000</v>
      </c>
      <c r="I26" t="s">
        <v>172</v>
      </c>
      <c r="J26" t="s">
        <v>173</v>
      </c>
    </row>
    <row r="27" spans="2:10" x14ac:dyDescent="0.5">
      <c r="B27" t="s">
        <v>174</v>
      </c>
      <c r="D27">
        <v>200</v>
      </c>
      <c r="E27" t="s">
        <v>118</v>
      </c>
      <c r="G27" t="s">
        <v>104</v>
      </c>
      <c r="H27" s="95">
        <v>261.01</v>
      </c>
      <c r="I27" t="s">
        <v>172</v>
      </c>
      <c r="J27" t="s">
        <v>175</v>
      </c>
    </row>
    <row r="28" spans="2:10" x14ac:dyDescent="0.5">
      <c r="B28" t="s">
        <v>176</v>
      </c>
      <c r="G28" t="s">
        <v>104</v>
      </c>
      <c r="H28" s="95">
        <v>1573.5725200000002</v>
      </c>
      <c r="I28" t="s">
        <v>155</v>
      </c>
      <c r="J28" t="s">
        <v>177</v>
      </c>
    </row>
    <row r="29" spans="2:10" x14ac:dyDescent="0.5">
      <c r="B29" t="s">
        <v>178</v>
      </c>
      <c r="G29" t="s">
        <v>104</v>
      </c>
      <c r="H29" s="95">
        <v>315</v>
      </c>
      <c r="I29" t="s">
        <v>179</v>
      </c>
      <c r="J29" t="s">
        <v>180</v>
      </c>
    </row>
    <row r="30" spans="2:10" x14ac:dyDescent="0.5">
      <c r="B30" t="s">
        <v>181</v>
      </c>
    </row>
    <row r="31" spans="2:10" x14ac:dyDescent="0.5">
      <c r="B31" t="s">
        <v>182</v>
      </c>
      <c r="D31">
        <v>50</v>
      </c>
      <c r="E31" t="s">
        <v>118</v>
      </c>
      <c r="G31" t="s">
        <v>104</v>
      </c>
      <c r="H31" s="95">
        <v>91.74</v>
      </c>
      <c r="I31" t="s">
        <v>179</v>
      </c>
      <c r="J31" t="s">
        <v>183</v>
      </c>
    </row>
    <row r="32" spans="2:10" x14ac:dyDescent="0.5">
      <c r="B32" t="s">
        <v>184</v>
      </c>
      <c r="G32" t="s">
        <v>104</v>
      </c>
      <c r="H32" s="95">
        <v>406.74</v>
      </c>
      <c r="I32" t="s">
        <v>179</v>
      </c>
      <c r="J32" t="s">
        <v>185</v>
      </c>
    </row>
    <row r="33" spans="1:10" x14ac:dyDescent="0.5">
      <c r="B33" t="s">
        <v>186</v>
      </c>
      <c r="D33" t="s">
        <v>187</v>
      </c>
      <c r="E33">
        <v>0.74</v>
      </c>
      <c r="G33" t="s">
        <v>104</v>
      </c>
      <c r="H33" s="95">
        <v>300.99</v>
      </c>
      <c r="I33" t="s">
        <v>155</v>
      </c>
      <c r="J33" t="s">
        <v>188</v>
      </c>
    </row>
    <row r="34" spans="1:10" x14ac:dyDescent="0.5">
      <c r="B34" t="s">
        <v>189</v>
      </c>
      <c r="G34" t="s">
        <v>104</v>
      </c>
      <c r="H34" s="95">
        <v>385.14</v>
      </c>
      <c r="I34" t="s">
        <v>190</v>
      </c>
      <c r="J34" t="s">
        <v>191</v>
      </c>
    </row>
    <row r="35" spans="1:10" x14ac:dyDescent="0.5">
      <c r="B35" t="s">
        <v>192</v>
      </c>
      <c r="D35">
        <v>1</v>
      </c>
      <c r="E35" t="s">
        <v>118</v>
      </c>
      <c r="G35" t="s">
        <v>104</v>
      </c>
      <c r="H35" s="95">
        <v>5.29</v>
      </c>
      <c r="I35" t="s">
        <v>155</v>
      </c>
      <c r="J35" t="s">
        <v>193</v>
      </c>
    </row>
    <row r="36" spans="1:10" x14ac:dyDescent="0.5">
      <c r="B36" t="s">
        <v>194</v>
      </c>
      <c r="G36" t="s">
        <v>104</v>
      </c>
      <c r="H36" s="95">
        <v>1</v>
      </c>
      <c r="J36" t="s">
        <v>195</v>
      </c>
    </row>
    <row r="37" spans="1:10" x14ac:dyDescent="0.5">
      <c r="B37" t="s">
        <v>196</v>
      </c>
      <c r="D37">
        <v>5</v>
      </c>
      <c r="F37" t="s">
        <v>197</v>
      </c>
      <c r="G37" t="s">
        <v>104</v>
      </c>
      <c r="H37" s="95">
        <v>13.96</v>
      </c>
      <c r="I37" t="s">
        <v>39</v>
      </c>
      <c r="J37" t="s">
        <v>198</v>
      </c>
    </row>
    <row r="38" spans="1:10" x14ac:dyDescent="0.5">
      <c r="B38" t="s">
        <v>196</v>
      </c>
      <c r="D38">
        <v>5</v>
      </c>
      <c r="F38" t="s">
        <v>199</v>
      </c>
      <c r="G38" t="s">
        <v>104</v>
      </c>
      <c r="H38" s="95">
        <v>10.91</v>
      </c>
      <c r="I38" t="s">
        <v>39</v>
      </c>
      <c r="J38" t="s">
        <v>198</v>
      </c>
    </row>
    <row r="39" spans="1:10" x14ac:dyDescent="0.5">
      <c r="B39" t="s">
        <v>200</v>
      </c>
      <c r="G39" t="s">
        <v>104</v>
      </c>
      <c r="H39" s="95">
        <v>116.28680000000001</v>
      </c>
      <c r="I39" t="s">
        <v>155</v>
      </c>
      <c r="J39" t="s">
        <v>201</v>
      </c>
    </row>
    <row r="40" spans="1:10" x14ac:dyDescent="0.5">
      <c r="G40" t="s">
        <v>104</v>
      </c>
      <c r="H40" s="95">
        <v>2407.87932</v>
      </c>
      <c r="I40" t="s">
        <v>155</v>
      </c>
      <c r="J40" t="s">
        <v>202</v>
      </c>
    </row>
    <row r="41" spans="1:10" x14ac:dyDescent="0.5">
      <c r="B41" t="s">
        <v>203</v>
      </c>
      <c r="G41" t="s">
        <v>104</v>
      </c>
      <c r="H41" s="96">
        <v>289.06</v>
      </c>
      <c r="I41" t="s">
        <v>39</v>
      </c>
      <c r="J41" t="s">
        <v>204</v>
      </c>
    </row>
    <row r="42" spans="1:10" x14ac:dyDescent="0.5">
      <c r="B42" t="s">
        <v>205</v>
      </c>
      <c r="G42" t="s">
        <v>104</v>
      </c>
      <c r="H42" s="95">
        <v>90.880300000000005</v>
      </c>
      <c r="I42" t="s">
        <v>155</v>
      </c>
      <c r="J42" t="s">
        <v>201</v>
      </c>
    </row>
    <row r="43" spans="1:10" x14ac:dyDescent="0.5">
      <c r="G43" t="s">
        <v>104</v>
      </c>
      <c r="H43" s="95">
        <v>2382.47282</v>
      </c>
      <c r="I43" t="s">
        <v>155</v>
      </c>
      <c r="J43" t="s">
        <v>202</v>
      </c>
    </row>
    <row r="44" spans="1:10" x14ac:dyDescent="0.5">
      <c r="B44" t="s">
        <v>206</v>
      </c>
      <c r="G44" t="s">
        <v>104</v>
      </c>
      <c r="H44" s="96">
        <v>286.01114285714283</v>
      </c>
      <c r="I44" t="s">
        <v>39</v>
      </c>
      <c r="J44" t="s">
        <v>204</v>
      </c>
    </row>
    <row r="46" spans="1:10" x14ac:dyDescent="0.5">
      <c r="A46" s="93" t="s">
        <v>207</v>
      </c>
      <c r="B46" s="93"/>
    </row>
    <row r="47" spans="1:10" x14ac:dyDescent="0.5">
      <c r="C47" t="s">
        <v>208</v>
      </c>
      <c r="D47">
        <v>5</v>
      </c>
      <c r="E47" t="s">
        <v>106</v>
      </c>
    </row>
    <row r="48" spans="1:10" x14ac:dyDescent="0.5">
      <c r="B48" t="s">
        <v>148</v>
      </c>
      <c r="G48" t="s">
        <v>104</v>
      </c>
      <c r="H48" s="95">
        <v>15.6</v>
      </c>
      <c r="I48" t="s">
        <v>56</v>
      </c>
      <c r="J48" t="s">
        <v>108</v>
      </c>
    </row>
    <row r="49" spans="2:10" x14ac:dyDescent="0.5">
      <c r="E49" t="s">
        <v>149</v>
      </c>
      <c r="F49">
        <v>2.4</v>
      </c>
      <c r="G49" t="s">
        <v>104</v>
      </c>
      <c r="H49" s="95">
        <v>37.44</v>
      </c>
      <c r="I49" t="s">
        <v>150</v>
      </c>
      <c r="J49" t="s">
        <v>109</v>
      </c>
    </row>
    <row r="50" spans="2:10" x14ac:dyDescent="0.5">
      <c r="B50" t="s">
        <v>151</v>
      </c>
      <c r="G50" t="s">
        <v>104</v>
      </c>
      <c r="H50" s="95">
        <v>10000</v>
      </c>
      <c r="I50" t="s">
        <v>150</v>
      </c>
      <c r="J50" t="s">
        <v>152</v>
      </c>
    </row>
    <row r="51" spans="2:10" x14ac:dyDescent="0.5">
      <c r="B51" t="s">
        <v>153</v>
      </c>
      <c r="E51">
        <v>250000</v>
      </c>
      <c r="F51" t="s">
        <v>154</v>
      </c>
      <c r="G51" t="s">
        <v>104</v>
      </c>
      <c r="H51" s="95">
        <v>25</v>
      </c>
      <c r="I51" t="s">
        <v>155</v>
      </c>
      <c r="J51" t="s">
        <v>156</v>
      </c>
    </row>
    <row r="53" spans="2:10" x14ac:dyDescent="0.5">
      <c r="J53" t="s">
        <v>157</v>
      </c>
    </row>
    <row r="54" spans="2:10" x14ac:dyDescent="0.5">
      <c r="B54" t="s">
        <v>158</v>
      </c>
      <c r="G54" t="s">
        <v>104</v>
      </c>
      <c r="H54" s="95">
        <v>10000</v>
      </c>
      <c r="I54" t="s">
        <v>150</v>
      </c>
      <c r="J54" t="s">
        <v>159</v>
      </c>
    </row>
    <row r="55" spans="2:10" x14ac:dyDescent="0.5">
      <c r="B55" t="s">
        <v>160</v>
      </c>
      <c r="G55" t="s">
        <v>104</v>
      </c>
      <c r="H55" s="95">
        <v>8.33</v>
      </c>
      <c r="I55" t="s">
        <v>22</v>
      </c>
      <c r="J55" t="s">
        <v>161</v>
      </c>
    </row>
    <row r="56" spans="2:10" x14ac:dyDescent="0.5">
      <c r="B56" t="s">
        <v>162</v>
      </c>
      <c r="E56">
        <v>100</v>
      </c>
      <c r="F56" t="s">
        <v>118</v>
      </c>
      <c r="G56" t="s">
        <v>104</v>
      </c>
      <c r="H56" s="95">
        <v>199.81</v>
      </c>
      <c r="I56" t="s">
        <v>163</v>
      </c>
      <c r="J56" t="s">
        <v>164</v>
      </c>
    </row>
    <row r="57" spans="2:10" x14ac:dyDescent="0.5">
      <c r="B57" t="s">
        <v>165</v>
      </c>
      <c r="E57" t="s">
        <v>166</v>
      </c>
      <c r="F57" t="s">
        <v>167</v>
      </c>
      <c r="G57" t="s">
        <v>104</v>
      </c>
      <c r="H57" s="95">
        <v>1.6</v>
      </c>
      <c r="I57" t="s">
        <v>155</v>
      </c>
      <c r="J57" t="s">
        <v>168</v>
      </c>
    </row>
    <row r="58" spans="2:10" x14ac:dyDescent="0.5">
      <c r="B58" t="s">
        <v>169</v>
      </c>
      <c r="G58" t="s">
        <v>104</v>
      </c>
      <c r="H58" s="95">
        <v>25</v>
      </c>
      <c r="I58" t="s">
        <v>155</v>
      </c>
      <c r="J58" t="s">
        <v>170</v>
      </c>
    </row>
    <row r="59" spans="2:10" x14ac:dyDescent="0.5">
      <c r="B59" t="s">
        <v>171</v>
      </c>
      <c r="G59" t="s">
        <v>104</v>
      </c>
      <c r="H59" s="95">
        <v>30000</v>
      </c>
      <c r="I59" t="s">
        <v>172</v>
      </c>
      <c r="J59" t="s">
        <v>173</v>
      </c>
    </row>
    <row r="60" spans="2:10" x14ac:dyDescent="0.5">
      <c r="B60" t="s">
        <v>174</v>
      </c>
      <c r="D60">
        <v>200</v>
      </c>
      <c r="E60" t="s">
        <v>118</v>
      </c>
      <c r="G60" t="s">
        <v>104</v>
      </c>
      <c r="H60" s="95">
        <v>261.01</v>
      </c>
      <c r="I60" t="s">
        <v>172</v>
      </c>
      <c r="J60" t="s">
        <v>175</v>
      </c>
    </row>
    <row r="61" spans="2:10" x14ac:dyDescent="0.5">
      <c r="B61" t="s">
        <v>209</v>
      </c>
      <c r="G61" t="s">
        <v>104</v>
      </c>
      <c r="H61" s="95">
        <v>1543.3115099999998</v>
      </c>
      <c r="I61" t="s">
        <v>155</v>
      </c>
      <c r="J61" t="s">
        <v>210</v>
      </c>
    </row>
    <row r="62" spans="2:10" x14ac:dyDescent="0.5">
      <c r="B62" t="s">
        <v>178</v>
      </c>
      <c r="G62" t="s">
        <v>104</v>
      </c>
      <c r="H62" s="95">
        <v>315</v>
      </c>
      <c r="I62" t="s">
        <v>179</v>
      </c>
      <c r="J62" t="s">
        <v>180</v>
      </c>
    </row>
    <row r="63" spans="2:10" x14ac:dyDescent="0.5">
      <c r="B63" t="s">
        <v>181</v>
      </c>
    </row>
    <row r="64" spans="2:10" x14ac:dyDescent="0.5">
      <c r="B64" t="s">
        <v>182</v>
      </c>
      <c r="D64">
        <v>50</v>
      </c>
      <c r="E64" t="s">
        <v>118</v>
      </c>
      <c r="G64" t="s">
        <v>104</v>
      </c>
      <c r="H64" s="95">
        <v>91.74</v>
      </c>
      <c r="I64" t="s">
        <v>179</v>
      </c>
      <c r="J64" t="s">
        <v>183</v>
      </c>
    </row>
    <row r="65" spans="1:10" x14ac:dyDescent="0.5">
      <c r="B65" t="s">
        <v>184</v>
      </c>
      <c r="G65" t="s">
        <v>104</v>
      </c>
      <c r="H65" s="95">
        <v>406.74</v>
      </c>
      <c r="I65" t="s">
        <v>179</v>
      </c>
      <c r="J65" t="s">
        <v>185</v>
      </c>
    </row>
    <row r="66" spans="1:10" x14ac:dyDescent="0.5">
      <c r="B66" t="s">
        <v>186</v>
      </c>
      <c r="D66" t="s">
        <v>187</v>
      </c>
      <c r="E66">
        <v>0.74</v>
      </c>
      <c r="G66" t="s">
        <v>104</v>
      </c>
      <c r="H66" s="95">
        <v>300.99</v>
      </c>
      <c r="I66" t="s">
        <v>155</v>
      </c>
      <c r="J66" t="s">
        <v>188</v>
      </c>
    </row>
    <row r="67" spans="1:10" x14ac:dyDescent="0.5">
      <c r="B67" t="s">
        <v>189</v>
      </c>
      <c r="G67" t="s">
        <v>104</v>
      </c>
      <c r="H67" s="95">
        <v>385.14</v>
      </c>
      <c r="I67" t="s">
        <v>190</v>
      </c>
      <c r="J67" t="s">
        <v>191</v>
      </c>
    </row>
    <row r="68" spans="1:10" x14ac:dyDescent="0.5">
      <c r="B68" t="s">
        <v>192</v>
      </c>
      <c r="D68">
        <v>1</v>
      </c>
      <c r="E68" t="s">
        <v>118</v>
      </c>
      <c r="G68" t="s">
        <v>104</v>
      </c>
      <c r="H68" s="95">
        <v>5.29</v>
      </c>
      <c r="I68" t="s">
        <v>155</v>
      </c>
      <c r="J68" t="s">
        <v>193</v>
      </c>
    </row>
    <row r="69" spans="1:10" x14ac:dyDescent="0.5">
      <c r="B69" t="s">
        <v>194</v>
      </c>
      <c r="G69" t="s">
        <v>104</v>
      </c>
      <c r="H69" s="95">
        <v>1</v>
      </c>
      <c r="J69" t="s">
        <v>195</v>
      </c>
    </row>
    <row r="70" spans="1:10" x14ac:dyDescent="0.5">
      <c r="B70" t="s">
        <v>196</v>
      </c>
      <c r="D70">
        <v>5</v>
      </c>
      <c r="F70" t="s">
        <v>197</v>
      </c>
      <c r="G70" t="s">
        <v>104</v>
      </c>
      <c r="H70" s="95">
        <v>13.96</v>
      </c>
      <c r="I70" t="s">
        <v>39</v>
      </c>
      <c r="J70" t="s">
        <v>198</v>
      </c>
    </row>
    <row r="71" spans="1:10" x14ac:dyDescent="0.5">
      <c r="B71" t="s">
        <v>196</v>
      </c>
      <c r="D71">
        <v>5</v>
      </c>
      <c r="F71" t="s">
        <v>199</v>
      </c>
      <c r="G71" t="s">
        <v>104</v>
      </c>
      <c r="H71" s="95">
        <v>10.91</v>
      </c>
      <c r="I71" t="s">
        <v>39</v>
      </c>
      <c r="J71" t="s">
        <v>198</v>
      </c>
    </row>
    <row r="72" spans="1:10" x14ac:dyDescent="0.5">
      <c r="B72" t="s">
        <v>200</v>
      </c>
      <c r="G72" t="s">
        <v>104</v>
      </c>
      <c r="H72" s="95">
        <v>116.28680000000001</v>
      </c>
      <c r="I72" t="s">
        <v>155</v>
      </c>
      <c r="J72" t="s">
        <v>201</v>
      </c>
    </row>
    <row r="73" spans="1:10" x14ac:dyDescent="0.5">
      <c r="G73" t="s">
        <v>104</v>
      </c>
      <c r="H73" s="95">
        <v>2377.6183099999994</v>
      </c>
      <c r="I73" t="s">
        <v>155</v>
      </c>
      <c r="J73" t="s">
        <v>211</v>
      </c>
    </row>
    <row r="74" spans="1:10" x14ac:dyDescent="0.5">
      <c r="B74" t="s">
        <v>203</v>
      </c>
      <c r="G74" t="s">
        <v>104</v>
      </c>
      <c r="H74" s="96">
        <v>285.42836854741887</v>
      </c>
      <c r="I74" t="s">
        <v>39</v>
      </c>
      <c r="J74" t="s">
        <v>204</v>
      </c>
    </row>
    <row r="75" spans="1:10" x14ac:dyDescent="0.5">
      <c r="B75" t="s">
        <v>205</v>
      </c>
      <c r="G75" t="s">
        <v>104</v>
      </c>
      <c r="H75" s="95">
        <v>90.880300000000005</v>
      </c>
      <c r="I75" t="s">
        <v>155</v>
      </c>
      <c r="J75" t="s">
        <v>201</v>
      </c>
    </row>
    <row r="76" spans="1:10" x14ac:dyDescent="0.5">
      <c r="G76" t="s">
        <v>104</v>
      </c>
      <c r="H76" s="95">
        <v>2352.2118099999993</v>
      </c>
      <c r="I76" t="s">
        <v>155</v>
      </c>
      <c r="J76" t="s">
        <v>211</v>
      </c>
    </row>
    <row r="77" spans="1:10" x14ac:dyDescent="0.5">
      <c r="B77" t="s">
        <v>206</v>
      </c>
      <c r="G77" t="s">
        <v>104</v>
      </c>
      <c r="H77" s="96">
        <v>282.37836854741886</v>
      </c>
      <c r="I77" t="s">
        <v>39</v>
      </c>
      <c r="J77" t="s">
        <v>204</v>
      </c>
    </row>
    <row r="80" spans="1:10" x14ac:dyDescent="0.5">
      <c r="A80" s="97">
        <v>4</v>
      </c>
      <c r="B80" s="97" t="s">
        <v>212</v>
      </c>
      <c r="G80" s="95"/>
      <c r="H80"/>
    </row>
    <row r="81" spans="2:11" x14ac:dyDescent="0.5">
      <c r="B81">
        <v>4.0999999999999996</v>
      </c>
      <c r="C81" t="s">
        <v>213</v>
      </c>
      <c r="G81" s="95"/>
      <c r="H81"/>
    </row>
    <row r="82" spans="2:11" x14ac:dyDescent="0.5">
      <c r="B82" t="s">
        <v>214</v>
      </c>
      <c r="C82" t="s">
        <v>215</v>
      </c>
      <c r="G82" s="95"/>
      <c r="H82"/>
    </row>
    <row r="83" spans="2:11" x14ac:dyDescent="0.5">
      <c r="B83" t="s">
        <v>216</v>
      </c>
      <c r="G83" s="95"/>
      <c r="H83"/>
    </row>
    <row r="84" spans="2:11" x14ac:dyDescent="0.5">
      <c r="C84" t="s">
        <v>217</v>
      </c>
      <c r="G84" s="95" t="s">
        <v>218</v>
      </c>
      <c r="H84">
        <v>25.41</v>
      </c>
      <c r="I84" t="s">
        <v>39</v>
      </c>
      <c r="J84" t="s">
        <v>108</v>
      </c>
    </row>
    <row r="85" spans="2:11" x14ac:dyDescent="0.5">
      <c r="C85" t="s">
        <v>219</v>
      </c>
      <c r="G85" s="95" t="s">
        <v>218</v>
      </c>
      <c r="H85">
        <v>6.6499999999999995</v>
      </c>
      <c r="I85" t="s">
        <v>39</v>
      </c>
      <c r="J85" t="s">
        <v>109</v>
      </c>
      <c r="K85" t="s">
        <v>157</v>
      </c>
    </row>
    <row r="86" spans="2:11" x14ac:dyDescent="0.5">
      <c r="C86" t="s">
        <v>116</v>
      </c>
      <c r="G86" s="95" t="s">
        <v>218</v>
      </c>
      <c r="H86">
        <v>32.06</v>
      </c>
      <c r="I86" t="s">
        <v>39</v>
      </c>
      <c r="J86" t="s">
        <v>220</v>
      </c>
    </row>
    <row r="87" spans="2:11" x14ac:dyDescent="0.5">
      <c r="C87" t="s">
        <v>117</v>
      </c>
      <c r="G87" s="95" t="s">
        <v>218</v>
      </c>
      <c r="H87">
        <v>32.06</v>
      </c>
      <c r="I87" t="s">
        <v>39</v>
      </c>
    </row>
    <row r="88" spans="2:11" x14ac:dyDescent="0.5">
      <c r="G88" s="95"/>
      <c r="H88"/>
    </row>
    <row r="89" spans="2:11" x14ac:dyDescent="0.5">
      <c r="C89" t="s">
        <v>221</v>
      </c>
      <c r="G89" s="95" t="s">
        <v>218</v>
      </c>
      <c r="H89">
        <v>25.91</v>
      </c>
      <c r="I89" t="s">
        <v>39</v>
      </c>
      <c r="J89" t="s">
        <v>108</v>
      </c>
    </row>
    <row r="90" spans="2:11" x14ac:dyDescent="0.5">
      <c r="C90" t="s">
        <v>219</v>
      </c>
      <c r="G90" s="95" t="s">
        <v>218</v>
      </c>
      <c r="H90">
        <v>6.6499999999999995</v>
      </c>
      <c r="I90" t="s">
        <v>39</v>
      </c>
      <c r="J90" t="s">
        <v>109</v>
      </c>
      <c r="K90" t="s">
        <v>157</v>
      </c>
    </row>
    <row r="91" spans="2:11" x14ac:dyDescent="0.5">
      <c r="C91" t="s">
        <v>116</v>
      </c>
      <c r="G91" s="95" t="s">
        <v>218</v>
      </c>
      <c r="H91">
        <v>32.56</v>
      </c>
      <c r="I91" t="s">
        <v>39</v>
      </c>
      <c r="J91" t="s">
        <v>220</v>
      </c>
    </row>
    <row r="92" spans="2:11" x14ac:dyDescent="0.5">
      <c r="C92" t="s">
        <v>117</v>
      </c>
      <c r="G92" s="95" t="s">
        <v>218</v>
      </c>
      <c r="H92">
        <v>32.56</v>
      </c>
      <c r="I92" t="s">
        <v>39</v>
      </c>
    </row>
    <row r="93" spans="2:11" x14ac:dyDescent="0.5">
      <c r="G93" s="95"/>
      <c r="H93"/>
    </row>
    <row r="94" spans="2:11" x14ac:dyDescent="0.5">
      <c r="B94" t="s">
        <v>222</v>
      </c>
      <c r="G94" s="95"/>
      <c r="H94"/>
    </row>
    <row r="95" spans="2:11" x14ac:dyDescent="0.5">
      <c r="C95" t="s">
        <v>223</v>
      </c>
      <c r="G95" s="95" t="s">
        <v>218</v>
      </c>
      <c r="H95">
        <v>7.55</v>
      </c>
      <c r="I95" t="s">
        <v>39</v>
      </c>
      <c r="J95" t="s">
        <v>108</v>
      </c>
    </row>
    <row r="96" spans="2:11" x14ac:dyDescent="0.5">
      <c r="C96" t="s">
        <v>219</v>
      </c>
      <c r="G96" s="95" t="s">
        <v>218</v>
      </c>
      <c r="H96">
        <v>6.39</v>
      </c>
      <c r="I96" t="s">
        <v>39</v>
      </c>
      <c r="J96" t="s">
        <v>109</v>
      </c>
      <c r="K96" t="s">
        <v>157</v>
      </c>
    </row>
    <row r="97" spans="3:10" x14ac:dyDescent="0.5">
      <c r="C97" t="s">
        <v>116</v>
      </c>
      <c r="G97" s="95" t="s">
        <v>218</v>
      </c>
      <c r="H97">
        <v>13.94</v>
      </c>
      <c r="I97" t="s">
        <v>39</v>
      </c>
      <c r="J97" t="s">
        <v>220</v>
      </c>
    </row>
    <row r="98" spans="3:10" x14ac:dyDescent="0.5">
      <c r="C98" t="s">
        <v>117</v>
      </c>
      <c r="G98" s="95" t="s">
        <v>218</v>
      </c>
      <c r="H98">
        <v>13.94</v>
      </c>
      <c r="I98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9</vt:i4>
      </vt:variant>
    </vt:vector>
  </HeadingPairs>
  <TitlesOfParts>
    <vt:vector size="18" baseType="lpstr">
      <vt:lpstr>ปร.4</vt:lpstr>
      <vt:lpstr>ปร.5 ก</vt:lpstr>
      <vt:lpstr>ปร.6</vt:lpstr>
      <vt:lpstr>ปร.5 ข</vt:lpstr>
      <vt:lpstr>แบบแสดงเหตุผล</vt:lpstr>
      <vt:lpstr>ปร.4(พ)</vt:lpstr>
      <vt:lpstr>ปร.4 (ข)</vt:lpstr>
      <vt:lpstr>งานเหล็ก</vt:lpstr>
      <vt:lpstr>งานถนน</vt:lpstr>
      <vt:lpstr>แบบแสดงเหตุผล!Print_Area</vt:lpstr>
      <vt:lpstr>ปร.4!Print_Area</vt:lpstr>
      <vt:lpstr>'ปร.4 (ข)'!Print_Area</vt:lpstr>
      <vt:lpstr>'ปร.4(พ)'!Print_Area</vt:lpstr>
      <vt:lpstr>'ปร.5 ก'!Print_Area</vt:lpstr>
      <vt:lpstr>'ปร.5 ข'!Print_Area</vt:lpstr>
      <vt:lpstr>ปร.6!Print_Area</vt:lpstr>
      <vt:lpstr>ปร.4!Print_Titles</vt:lpstr>
      <vt:lpstr>'ปร.4 (ข)'!Print_Titles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DDPM-USER</cp:lastModifiedBy>
  <cp:lastPrinted>2024-06-12T07:31:26Z</cp:lastPrinted>
  <dcterms:created xsi:type="dcterms:W3CDTF">2006-11-12T02:21:41Z</dcterms:created>
  <dcterms:modified xsi:type="dcterms:W3CDTF">2024-06-12T07:33:06Z</dcterms:modified>
</cp:coreProperties>
</file>